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qmn.sharepoint.com/sites/RiskandCompliance/Shared Documents/Enforceable Undertaking/3.3.1a Museum BSP Toolkit/Review 2025/"/>
    </mc:Choice>
  </mc:AlternateContent>
  <xr:revisionPtr revIDLastSave="1611" documentId="8_{A596AA03-51E0-4930-9910-4398CB9DB57D}" xr6:coauthVersionLast="47" xr6:coauthVersionMax="47" xr10:uidLastSave="{C5C9C18E-6D07-4275-86F9-C5F11D4A7DFD}"/>
  <bookViews>
    <workbookView xWindow="28680" yWindow="-120" windowWidth="29040" windowHeight="15720" xr2:uid="{2ADA172A-7ED0-45FE-A3FF-E71448EEECE7}"/>
  </bookViews>
  <sheets>
    <sheet name="Instructions for use" sheetId="8" r:id="rId1"/>
    <sheet name="SOP register" sheetId="2" r:id="rId2"/>
    <sheet name="SOP template" sheetId="3" r:id="rId3"/>
    <sheet name="Training Matrix" sheetId="9" r:id="rId4"/>
    <sheet name="Risk Matrix" sheetId="7" r:id="rId5"/>
    <sheet name="Ref" sheetId="4" state="hidden" r:id="rId6"/>
    <sheet name="Standard Controls" sheetId="10" r:id="rId7"/>
  </sheets>
  <definedNames>
    <definedName name="_xlnm._FilterDatabase" localSheetId="5" hidden="1">Ref!$F$1:$P$333</definedName>
    <definedName name="_xlnm._FilterDatabase" localSheetId="2" hidden="1">'SOP template'!$A$2:$I$663</definedName>
    <definedName name="Mandatory_PPE">INDEX(Ref!$J$28:$J$333,MATCH('SOP template'!$C$340,Ref!$K$28:$K$333,0))</definedName>
    <definedName name="_xlnm.Print_Area" localSheetId="4">'Risk Matrix'!$A$1:$M$19</definedName>
    <definedName name="_xlnm.Print_Area" localSheetId="2">'SOP template'!$B$26:$G$663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2" l="1"/>
  <c r="B59" i="7"/>
  <c r="C24" i="10"/>
  <c r="B24" i="10" s="1"/>
  <c r="C23" i="10"/>
  <c r="B23" i="10" s="1"/>
  <c r="C22" i="10"/>
  <c r="B22" i="10" s="1"/>
  <c r="C21" i="10"/>
  <c r="B21" i="10" s="1"/>
  <c r="C19" i="10"/>
  <c r="B19" i="10" s="1"/>
  <c r="C18" i="10"/>
  <c r="B18" i="10" s="1"/>
  <c r="C17" i="10"/>
  <c r="B17" i="10" s="1"/>
  <c r="C16" i="10"/>
  <c r="B16" i="10" s="1"/>
  <c r="C15" i="10"/>
  <c r="B15" i="10" s="1"/>
  <c r="C14" i="10"/>
  <c r="B14" i="10" s="1"/>
  <c r="C13" i="10"/>
  <c r="B13" i="10" s="1"/>
  <c r="C12" i="10"/>
  <c r="B12" i="10" s="1"/>
  <c r="C11" i="10"/>
  <c r="B11" i="10" s="1"/>
  <c r="C10" i="10"/>
  <c r="B10" i="10" s="1"/>
  <c r="C9" i="10"/>
  <c r="B9" i="10" s="1"/>
  <c r="C8" i="10"/>
  <c r="B8" i="10" s="1"/>
  <c r="C7" i="10"/>
  <c r="B7" i="10" s="1"/>
  <c r="C6" i="10"/>
  <c r="C5" i="10"/>
  <c r="B5" i="10" s="1"/>
  <c r="C4" i="10"/>
  <c r="B4" i="10" s="1"/>
  <c r="B25" i="10" s="1"/>
  <c r="C20" i="10"/>
  <c r="B20" i="10" s="1"/>
  <c r="D48" i="7"/>
  <c r="J21" i="10"/>
  <c r="J14" i="10" l="1"/>
  <c r="J59" i="10"/>
  <c r="J64" i="10"/>
  <c r="J58" i="10"/>
  <c r="J65" i="10"/>
  <c r="J60" i="10"/>
  <c r="J61" i="10"/>
  <c r="J62" i="10"/>
  <c r="J63" i="10"/>
  <c r="B6" i="10"/>
  <c r="J18" i="10"/>
  <c r="M21" i="10"/>
  <c r="L21" i="10"/>
  <c r="J9" i="10"/>
  <c r="J4" i="10"/>
  <c r="J23" i="10"/>
  <c r="J25" i="10"/>
  <c r="J28" i="10"/>
  <c r="J31" i="10"/>
  <c r="J34" i="10"/>
  <c r="J37" i="10"/>
  <c r="J40" i="10"/>
  <c r="J43" i="10"/>
  <c r="J46" i="10"/>
  <c r="J49" i="10"/>
  <c r="J55" i="10"/>
  <c r="J13" i="10"/>
  <c r="J20" i="10"/>
  <c r="J8" i="10"/>
  <c r="J26" i="10"/>
  <c r="J29" i="10"/>
  <c r="J32" i="10"/>
  <c r="J35" i="10"/>
  <c r="J38" i="10"/>
  <c r="J41" i="10"/>
  <c r="J44" i="10"/>
  <c r="J47" i="10"/>
  <c r="J50" i="10"/>
  <c r="J53" i="10"/>
  <c r="J56" i="10"/>
  <c r="J66" i="10"/>
  <c r="J69" i="10"/>
  <c r="J15" i="10"/>
  <c r="J22" i="10"/>
  <c r="J10" i="10"/>
  <c r="J5" i="10"/>
  <c r="J17" i="10"/>
  <c r="J24" i="10"/>
  <c r="J67" i="10"/>
  <c r="J70" i="10"/>
  <c r="J12" i="10"/>
  <c r="J27" i="10"/>
  <c r="J30" i="10"/>
  <c r="J33" i="10"/>
  <c r="J36" i="10"/>
  <c r="J39" i="10"/>
  <c r="J42" i="10"/>
  <c r="J45" i="10"/>
  <c r="J48" i="10"/>
  <c r="J51" i="10"/>
  <c r="J54" i="10"/>
  <c r="J57" i="10"/>
  <c r="J7" i="10"/>
  <c r="J19" i="10"/>
  <c r="J68" i="10"/>
  <c r="J71" i="10"/>
  <c r="J16" i="10"/>
  <c r="J52" i="10"/>
  <c r="J11" i="10"/>
  <c r="J6" i="10"/>
  <c r="L42" i="10" l="1"/>
  <c r="M42" i="10"/>
  <c r="M20" i="10"/>
  <c r="L20" i="10"/>
  <c r="L23" i="10"/>
  <c r="M23" i="10"/>
  <c r="M35" i="10"/>
  <c r="L35" i="10"/>
  <c r="M70" i="10"/>
  <c r="L70" i="10"/>
  <c r="L4" i="10"/>
  <c r="M4" i="10"/>
  <c r="L5" i="10"/>
  <c r="M5" i="10"/>
  <c r="M11" i="10"/>
  <c r="L11" i="10"/>
  <c r="L27" i="10"/>
  <c r="M27" i="10"/>
  <c r="M67" i="10"/>
  <c r="L67" i="10"/>
  <c r="M49" i="10"/>
  <c r="M9" i="10"/>
  <c r="L9" i="10"/>
  <c r="L24" i="10"/>
  <c r="M24" i="10"/>
  <c r="M44" i="10"/>
  <c r="L44" i="10"/>
  <c r="L46" i="10"/>
  <c r="M46" i="10"/>
  <c r="L43" i="10"/>
  <c r="M43" i="10"/>
  <c r="L40" i="10"/>
  <c r="M40" i="10"/>
  <c r="L37" i="10"/>
  <c r="M37" i="10"/>
  <c r="M45" i="10"/>
  <c r="L45" i="10"/>
  <c r="M39" i="10"/>
  <c r="L39" i="10"/>
  <c r="M22" i="10"/>
  <c r="L22" i="10"/>
  <c r="M32" i="10"/>
  <c r="L32" i="10"/>
  <c r="L34" i="10"/>
  <c r="M34" i="10"/>
  <c r="M36" i="10"/>
  <c r="L36" i="10"/>
  <c r="M15" i="10"/>
  <c r="L15" i="10"/>
  <c r="M29" i="10"/>
  <c r="L29" i="10"/>
  <c r="L31" i="10"/>
  <c r="M31" i="10"/>
  <c r="M38" i="10"/>
  <c r="L38" i="10"/>
  <c r="M71" i="10"/>
  <c r="L71" i="10"/>
  <c r="M69" i="10"/>
  <c r="L69" i="10"/>
  <c r="M26" i="10"/>
  <c r="L26" i="10"/>
  <c r="L28" i="10"/>
  <c r="M28" i="10"/>
  <c r="M41" i="10"/>
  <c r="L41" i="10"/>
  <c r="M10" i="10"/>
  <c r="L10" i="10"/>
  <c r="M33" i="10"/>
  <c r="L33" i="10"/>
  <c r="M68" i="10"/>
  <c r="L68" i="10"/>
  <c r="L30" i="10"/>
  <c r="M30" i="10"/>
  <c r="M66" i="10"/>
  <c r="L66" i="10"/>
  <c r="M8" i="10"/>
  <c r="L8" i="10"/>
  <c r="L25" i="10"/>
  <c r="M25" i="10"/>
  <c r="L6" i="10" l="1"/>
  <c r="L7" i="10" s="1"/>
  <c r="M6" i="10"/>
  <c r="M7" i="10"/>
  <c r="L47" i="10"/>
  <c r="M47" i="10"/>
  <c r="M48" i="10" s="1"/>
  <c r="M12" i="10" l="1"/>
  <c r="M13" i="10"/>
  <c r="L12" i="10"/>
  <c r="L48" i="10"/>
  <c r="L49" i="10"/>
  <c r="M14" i="10" l="1"/>
  <c r="M16" i="10" s="1"/>
  <c r="L13" i="10"/>
  <c r="L14" i="10" l="1"/>
  <c r="M17" i="10"/>
  <c r="M18" i="10" l="1"/>
  <c r="L16" i="10"/>
  <c r="L17" i="10" l="1"/>
  <c r="L18" i="10" s="1"/>
  <c r="L19" i="10"/>
  <c r="M19" i="10"/>
  <c r="L50" i="10" l="1"/>
  <c r="M50" i="10"/>
  <c r="L51" i="10"/>
  <c r="L52" i="10" s="1"/>
  <c r="M51" i="10" l="1"/>
  <c r="L53" i="10"/>
  <c r="L54" i="10" s="1"/>
  <c r="L55" i="10" s="1"/>
  <c r="L56" i="10" s="1"/>
  <c r="L57" i="10" s="1"/>
  <c r="L58" i="10" s="1"/>
  <c r="L59" i="10" s="1"/>
  <c r="M52" i="10" l="1"/>
  <c r="M53" i="10" s="1"/>
  <c r="M54" i="10" s="1"/>
  <c r="L60" i="10"/>
  <c r="L61" i="10" s="1"/>
  <c r="L62" i="10" s="1"/>
  <c r="L63" i="10" s="1"/>
  <c r="L64" i="10" s="1"/>
  <c r="L65" i="10" s="1"/>
  <c r="J26" i="7" l="1"/>
  <c r="H26" i="7"/>
  <c r="H23" i="7"/>
  <c r="J24" i="7"/>
  <c r="H24" i="7"/>
  <c r="J25" i="7"/>
  <c r="J23" i="7"/>
  <c r="H31" i="7"/>
  <c r="H28" i="7"/>
  <c r="H39" i="7"/>
  <c r="J30" i="7"/>
  <c r="J38" i="7"/>
  <c r="H38" i="7"/>
  <c r="J34" i="7"/>
  <c r="H27" i="7"/>
  <c r="H29" i="7"/>
  <c r="H34" i="7"/>
  <c r="H35" i="7"/>
  <c r="H32" i="7"/>
  <c r="H33" i="7"/>
  <c r="J39" i="7"/>
  <c r="H30" i="7"/>
  <c r="H36" i="7"/>
  <c r="J36" i="7"/>
  <c r="J35" i="7"/>
  <c r="J33" i="7"/>
  <c r="J29" i="7"/>
  <c r="J27" i="7"/>
  <c r="J31" i="7"/>
  <c r="J32" i="7"/>
  <c r="J28" i="7"/>
  <c r="J37" i="7"/>
  <c r="H37" i="7"/>
  <c r="H25" i="7"/>
  <c r="H42" i="7"/>
  <c r="J40" i="7"/>
  <c r="J42" i="7"/>
  <c r="M55" i="10"/>
  <c r="M56" i="10" s="1"/>
  <c r="M57" i="10" s="1"/>
  <c r="H40" i="7"/>
  <c r="J41" i="7"/>
  <c r="H41" i="7"/>
  <c r="M58" i="10" l="1"/>
  <c r="M59" i="10" s="1"/>
  <c r="M60" i="10" s="1"/>
  <c r="M61" i="10" s="1"/>
  <c r="M62" i="10" s="1"/>
  <c r="M63" i="10" s="1"/>
  <c r="M64" i="10" s="1"/>
  <c r="M65" i="10" s="1"/>
  <c r="I663" i="3" l="1"/>
  <c r="I662" i="3"/>
  <c r="I661" i="3"/>
  <c r="I660" i="3"/>
  <c r="I659" i="3"/>
  <c r="I658" i="3"/>
  <c r="I657" i="3"/>
  <c r="I656" i="3"/>
  <c r="I655" i="3"/>
  <c r="I654" i="3"/>
  <c r="I653" i="3"/>
  <c r="I652" i="3"/>
  <c r="I651" i="3"/>
  <c r="I650" i="3"/>
  <c r="I649" i="3"/>
  <c r="I648" i="3"/>
  <c r="I647" i="3"/>
  <c r="I646" i="3"/>
  <c r="I645" i="3"/>
  <c r="I644" i="3"/>
  <c r="I643" i="3"/>
  <c r="I642" i="3"/>
  <c r="I641" i="3"/>
  <c r="I640" i="3"/>
  <c r="I639" i="3"/>
  <c r="I638" i="3"/>
  <c r="I637" i="3"/>
  <c r="I636" i="3"/>
  <c r="I635" i="3"/>
  <c r="I634" i="3"/>
  <c r="I633" i="3"/>
  <c r="I632" i="3"/>
  <c r="I631" i="3"/>
  <c r="I630" i="3"/>
  <c r="I629" i="3"/>
  <c r="I628" i="3"/>
  <c r="I627" i="3"/>
  <c r="I626" i="3"/>
  <c r="I625" i="3"/>
  <c r="I624" i="3"/>
  <c r="I623" i="3"/>
  <c r="I622" i="3"/>
  <c r="I621" i="3"/>
  <c r="I620" i="3"/>
  <c r="I619" i="3"/>
  <c r="I618" i="3"/>
  <c r="I617" i="3"/>
  <c r="I616" i="3"/>
  <c r="I615" i="3"/>
  <c r="I614" i="3"/>
  <c r="I613" i="3"/>
  <c r="I612" i="3"/>
  <c r="I611" i="3"/>
  <c r="I610" i="3"/>
  <c r="I609" i="3"/>
  <c r="I608" i="3"/>
  <c r="I607" i="3"/>
  <c r="I606" i="3"/>
  <c r="I605" i="3"/>
  <c r="I604" i="3"/>
  <c r="I603" i="3"/>
  <c r="I602" i="3"/>
  <c r="I601" i="3"/>
  <c r="I600" i="3"/>
  <c r="I599" i="3"/>
  <c r="I598" i="3"/>
  <c r="I597" i="3"/>
  <c r="I596" i="3"/>
  <c r="I595" i="3"/>
  <c r="I594" i="3"/>
  <c r="I593" i="3"/>
  <c r="I592" i="3"/>
  <c r="I591" i="3"/>
  <c r="I590" i="3"/>
  <c r="I589" i="3"/>
  <c r="I588" i="3"/>
  <c r="I587" i="3"/>
  <c r="I586" i="3"/>
  <c r="I585" i="3"/>
  <c r="I584" i="3"/>
  <c r="I583" i="3"/>
  <c r="I582" i="3"/>
  <c r="I581" i="3"/>
  <c r="I580" i="3"/>
  <c r="I579" i="3"/>
  <c r="I578" i="3"/>
  <c r="I577" i="3"/>
  <c r="I576" i="3"/>
  <c r="I575" i="3"/>
  <c r="I574" i="3"/>
  <c r="I573" i="3"/>
  <c r="I572" i="3"/>
  <c r="I571" i="3"/>
  <c r="I570" i="3"/>
  <c r="I569" i="3"/>
  <c r="I568" i="3"/>
  <c r="I567" i="3"/>
  <c r="I566" i="3"/>
  <c r="I565" i="3"/>
  <c r="I564" i="3"/>
  <c r="I563" i="3"/>
  <c r="I562" i="3"/>
  <c r="I561" i="3"/>
  <c r="I560" i="3"/>
  <c r="I559" i="3"/>
  <c r="I558" i="3"/>
  <c r="I557" i="3"/>
  <c r="I556" i="3"/>
  <c r="I555" i="3"/>
  <c r="I554" i="3"/>
  <c r="I553" i="3"/>
  <c r="I552" i="3"/>
  <c r="I551" i="3"/>
  <c r="I550" i="3"/>
  <c r="I549" i="3"/>
  <c r="I548" i="3"/>
  <c r="I547" i="3"/>
  <c r="I546" i="3"/>
  <c r="I545" i="3"/>
  <c r="I544" i="3"/>
  <c r="I543" i="3"/>
  <c r="I542" i="3"/>
  <c r="I541" i="3"/>
  <c r="I540" i="3"/>
  <c r="I539" i="3"/>
  <c r="I538" i="3"/>
  <c r="I537" i="3"/>
  <c r="I536" i="3"/>
  <c r="I535" i="3"/>
  <c r="I534" i="3"/>
  <c r="I533" i="3"/>
  <c r="I532" i="3"/>
  <c r="I531" i="3"/>
  <c r="I530" i="3"/>
  <c r="I529" i="3"/>
  <c r="I528" i="3"/>
  <c r="I527" i="3"/>
  <c r="I526" i="3"/>
  <c r="I525" i="3"/>
  <c r="I524" i="3"/>
  <c r="I523" i="3"/>
  <c r="I522" i="3"/>
  <c r="I521" i="3"/>
  <c r="I520" i="3"/>
  <c r="I519" i="3"/>
  <c r="I518" i="3"/>
  <c r="I517" i="3"/>
  <c r="I516" i="3"/>
  <c r="I515" i="3"/>
  <c r="I514" i="3"/>
  <c r="I513" i="3"/>
  <c r="I512" i="3"/>
  <c r="I511" i="3"/>
  <c r="I510" i="3"/>
  <c r="I509" i="3"/>
  <c r="I508" i="3"/>
  <c r="I507" i="3"/>
  <c r="I506" i="3"/>
  <c r="I505" i="3"/>
  <c r="I504" i="3"/>
  <c r="I503" i="3"/>
  <c r="I502" i="3"/>
  <c r="I501" i="3"/>
  <c r="I500" i="3"/>
  <c r="I499" i="3"/>
  <c r="I498" i="3"/>
  <c r="I497" i="3"/>
  <c r="I496" i="3"/>
  <c r="I495" i="3"/>
  <c r="I494" i="3"/>
  <c r="I493" i="3"/>
  <c r="I492" i="3"/>
  <c r="I491" i="3"/>
  <c r="I490" i="3"/>
  <c r="I489" i="3"/>
  <c r="I488" i="3"/>
  <c r="I487" i="3"/>
  <c r="I486" i="3"/>
  <c r="I485" i="3"/>
  <c r="I484" i="3"/>
  <c r="S26" i="2"/>
  <c r="AA26" i="2" s="1"/>
  <c r="S21" i="2"/>
  <c r="S20" i="2"/>
  <c r="AA20" i="2" s="1"/>
  <c r="S19" i="2"/>
  <c r="AA19" i="2" s="1"/>
  <c r="S18" i="2"/>
  <c r="S17" i="2"/>
  <c r="S16" i="2"/>
  <c r="S15" i="2"/>
  <c r="S14" i="2"/>
  <c r="S13" i="2"/>
  <c r="S12" i="2"/>
  <c r="AA12" i="2" s="1"/>
  <c r="S11" i="2"/>
  <c r="AA11" i="2" s="1"/>
  <c r="S10" i="2"/>
  <c r="AA10" i="2" s="1"/>
  <c r="S9" i="2"/>
  <c r="S8" i="2"/>
  <c r="S7" i="2"/>
  <c r="S6" i="2"/>
  <c r="S5" i="2"/>
  <c r="S23" i="2"/>
  <c r="S24" i="2"/>
  <c r="AA24" i="2" s="1"/>
  <c r="A501" i="3"/>
  <c r="A500" i="3"/>
  <c r="A499" i="3"/>
  <c r="A498" i="3"/>
  <c r="A504" i="3" s="1"/>
  <c r="A510" i="3" s="1"/>
  <c r="A516" i="3" s="1"/>
  <c r="A522" i="3" s="1"/>
  <c r="A528" i="3" s="1"/>
  <c r="A534" i="3" s="1"/>
  <c r="A540" i="3" s="1"/>
  <c r="A546" i="3" s="1"/>
  <c r="A552" i="3" s="1"/>
  <c r="A558" i="3" s="1"/>
  <c r="A564" i="3" s="1"/>
  <c r="A570" i="3" s="1"/>
  <c r="A576" i="3" s="1"/>
  <c r="A582" i="3" s="1"/>
  <c r="A588" i="3" s="1"/>
  <c r="A594" i="3" s="1"/>
  <c r="A600" i="3" s="1"/>
  <c r="A606" i="3" s="1"/>
  <c r="A612" i="3" s="1"/>
  <c r="A618" i="3" s="1"/>
  <c r="A624" i="3" s="1"/>
  <c r="A630" i="3" s="1"/>
  <c r="A636" i="3" s="1"/>
  <c r="A642" i="3" s="1"/>
  <c r="A648" i="3" s="1"/>
  <c r="A654" i="3" s="1"/>
  <c r="A660" i="3" s="1"/>
  <c r="A497" i="3"/>
  <c r="A496" i="3"/>
  <c r="S543" i="2"/>
  <c r="S542" i="2"/>
  <c r="AA542" i="2" s="1"/>
  <c r="S541" i="2"/>
  <c r="AA541" i="2" s="1"/>
  <c r="S540" i="2"/>
  <c r="AA540" i="2" s="1"/>
  <c r="S539" i="2"/>
  <c r="S538" i="2"/>
  <c r="S537" i="2"/>
  <c r="AA537" i="2" s="1"/>
  <c r="S536" i="2"/>
  <c r="S535" i="2"/>
  <c r="S534" i="2"/>
  <c r="AA534" i="2" s="1"/>
  <c r="S533" i="2"/>
  <c r="AA533" i="2" s="1"/>
  <c r="S532" i="2"/>
  <c r="AA532" i="2" s="1"/>
  <c r="S531" i="2"/>
  <c r="S530" i="2"/>
  <c r="S529" i="2"/>
  <c r="AA529" i="2" s="1"/>
  <c r="S528" i="2"/>
  <c r="AA528" i="2" s="1"/>
  <c r="S527" i="2"/>
  <c r="S526" i="2"/>
  <c r="S525" i="2"/>
  <c r="S524" i="2"/>
  <c r="S523" i="2"/>
  <c r="S522" i="2"/>
  <c r="AA522" i="2" s="1"/>
  <c r="S521" i="2"/>
  <c r="AA521" i="2" s="1"/>
  <c r="S520" i="2"/>
  <c r="AA520" i="2" s="1"/>
  <c r="S519" i="2"/>
  <c r="S518" i="2"/>
  <c r="AA518" i="2" s="1"/>
  <c r="S517" i="2"/>
  <c r="AA517" i="2" s="1"/>
  <c r="S516" i="2"/>
  <c r="AA516" i="2" s="1"/>
  <c r="S515" i="2"/>
  <c r="S514" i="2"/>
  <c r="S513" i="2"/>
  <c r="AA513" i="2" s="1"/>
  <c r="S512" i="2"/>
  <c r="S511" i="2"/>
  <c r="S510" i="2"/>
  <c r="AA510" i="2" s="1"/>
  <c r="S509" i="2"/>
  <c r="AA509" i="2" s="1"/>
  <c r="S508" i="2"/>
  <c r="AA508" i="2" s="1"/>
  <c r="S507" i="2"/>
  <c r="S506" i="2"/>
  <c r="S505" i="2"/>
  <c r="AA505" i="2" s="1"/>
  <c r="S504" i="2"/>
  <c r="AA504" i="2" s="1"/>
  <c r="S503" i="2"/>
  <c r="S502" i="2"/>
  <c r="S501" i="2"/>
  <c r="S500" i="2"/>
  <c r="S499" i="2"/>
  <c r="S498" i="2"/>
  <c r="AA498" i="2" s="1"/>
  <c r="S497" i="2"/>
  <c r="AA497" i="2" s="1"/>
  <c r="S496" i="2"/>
  <c r="AA496" i="2" s="1"/>
  <c r="S495" i="2"/>
  <c r="S494" i="2"/>
  <c r="S493" i="2"/>
  <c r="S492" i="2"/>
  <c r="S491" i="2"/>
  <c r="S490" i="2"/>
  <c r="S489" i="2"/>
  <c r="AA489" i="2" s="1"/>
  <c r="S488" i="2"/>
  <c r="S487" i="2"/>
  <c r="S486" i="2"/>
  <c r="AA486" i="2" s="1"/>
  <c r="S485" i="2"/>
  <c r="S484" i="2"/>
  <c r="AA484" i="2" s="1"/>
  <c r="S483" i="2"/>
  <c r="S482" i="2"/>
  <c r="S481" i="2"/>
  <c r="AA481" i="2" s="1"/>
  <c r="S480" i="2"/>
  <c r="S479" i="2"/>
  <c r="S478" i="2"/>
  <c r="S477" i="2"/>
  <c r="S476" i="2"/>
  <c r="S475" i="2"/>
  <c r="S474" i="2"/>
  <c r="AA474" i="2" s="1"/>
  <c r="S473" i="2"/>
  <c r="AA473" i="2" s="1"/>
  <c r="S472" i="2"/>
  <c r="AA472" i="2" s="1"/>
  <c r="S471" i="2"/>
  <c r="S470" i="2"/>
  <c r="S469" i="2"/>
  <c r="AA469" i="2" s="1"/>
  <c r="S468" i="2"/>
  <c r="S467" i="2"/>
  <c r="S466" i="2"/>
  <c r="S465" i="2"/>
  <c r="AA465" i="2" s="1"/>
  <c r="S464" i="2"/>
  <c r="S463" i="2"/>
  <c r="S462" i="2"/>
  <c r="AA462" i="2" s="1"/>
  <c r="S461" i="2"/>
  <c r="AA461" i="2" s="1"/>
  <c r="S460" i="2"/>
  <c r="AA460" i="2" s="1"/>
  <c r="S459" i="2"/>
  <c r="AA459" i="2" s="1"/>
  <c r="S458" i="2"/>
  <c r="S457" i="2"/>
  <c r="AA457" i="2" s="1"/>
  <c r="S456" i="2"/>
  <c r="AA456" i="2" s="1"/>
  <c r="S455" i="2"/>
  <c r="S454" i="2"/>
  <c r="S453" i="2"/>
  <c r="S452" i="2"/>
  <c r="S451" i="2"/>
  <c r="S450" i="2"/>
  <c r="S449" i="2"/>
  <c r="AA449" i="2" s="1"/>
  <c r="S448" i="2"/>
  <c r="AA448" i="2" s="1"/>
  <c r="S447" i="2"/>
  <c r="S446" i="2"/>
  <c r="S445" i="2"/>
  <c r="AA445" i="2" s="1"/>
  <c r="S444" i="2"/>
  <c r="S443" i="2"/>
  <c r="S442" i="2"/>
  <c r="S441" i="2"/>
  <c r="AA441" i="2" s="1"/>
  <c r="S440" i="2"/>
  <c r="S439" i="2"/>
  <c r="S438" i="2"/>
  <c r="AA438" i="2" s="1"/>
  <c r="S437" i="2"/>
  <c r="AA437" i="2" s="1"/>
  <c r="S436" i="2"/>
  <c r="S435" i="2"/>
  <c r="S434" i="2"/>
  <c r="S433" i="2"/>
  <c r="S432" i="2"/>
  <c r="S431" i="2"/>
  <c r="S430" i="2"/>
  <c r="S429" i="2"/>
  <c r="S428" i="2"/>
  <c r="S427" i="2"/>
  <c r="S426" i="2"/>
  <c r="AA426" i="2" s="1"/>
  <c r="S425" i="2"/>
  <c r="AA425" i="2" s="1"/>
  <c r="S424" i="2"/>
  <c r="AA424" i="2" s="1"/>
  <c r="S423" i="2"/>
  <c r="S422" i="2"/>
  <c r="S421" i="2"/>
  <c r="S420" i="2"/>
  <c r="S419" i="2"/>
  <c r="S418" i="2"/>
  <c r="S417" i="2"/>
  <c r="AA417" i="2" s="1"/>
  <c r="S416" i="2"/>
  <c r="S415" i="2"/>
  <c r="S414" i="2"/>
  <c r="AA414" i="2" s="1"/>
  <c r="S413" i="2"/>
  <c r="AA413" i="2" s="1"/>
  <c r="S412" i="2"/>
  <c r="AA412" i="2" s="1"/>
  <c r="S411" i="2"/>
  <c r="S410" i="2"/>
  <c r="S409" i="2"/>
  <c r="AA409" i="2" s="1"/>
  <c r="S408" i="2"/>
  <c r="S407" i="2"/>
  <c r="S406" i="2"/>
  <c r="S405" i="2"/>
  <c r="AA405" i="2" s="1"/>
  <c r="S404" i="2"/>
  <c r="AA404" i="2" s="1"/>
  <c r="S403" i="2"/>
  <c r="AA403" i="2" s="1"/>
  <c r="S402" i="2"/>
  <c r="AA402" i="2" s="1"/>
  <c r="S401" i="2"/>
  <c r="AA401" i="2" s="1"/>
  <c r="S400" i="2"/>
  <c r="AA400" i="2" s="1"/>
  <c r="S399" i="2"/>
  <c r="S398" i="2"/>
  <c r="S397" i="2"/>
  <c r="S396" i="2"/>
  <c r="S395" i="2"/>
  <c r="S394" i="2"/>
  <c r="S393" i="2"/>
  <c r="AA393" i="2" s="1"/>
  <c r="S392" i="2"/>
  <c r="S391" i="2"/>
  <c r="S390" i="2"/>
  <c r="AA390" i="2" s="1"/>
  <c r="S389" i="2"/>
  <c r="AA389" i="2" s="1"/>
  <c r="S388" i="2"/>
  <c r="AA388" i="2" s="1"/>
  <c r="S387" i="2"/>
  <c r="S386" i="2"/>
  <c r="S385" i="2"/>
  <c r="AA385" i="2" s="1"/>
  <c r="S384" i="2"/>
  <c r="S383" i="2"/>
  <c r="S382" i="2"/>
  <c r="S381" i="2"/>
  <c r="S380" i="2"/>
  <c r="AA380" i="2" s="1"/>
  <c r="S379" i="2"/>
  <c r="AA379" i="2" s="1"/>
  <c r="S378" i="2"/>
  <c r="AA378" i="2" s="1"/>
  <c r="S377" i="2"/>
  <c r="AA377" i="2" s="1"/>
  <c r="S376" i="2"/>
  <c r="AA376" i="2" s="1"/>
  <c r="S375" i="2"/>
  <c r="S374" i="2"/>
  <c r="S373" i="2"/>
  <c r="S372" i="2"/>
  <c r="S371" i="2"/>
  <c r="S370" i="2"/>
  <c r="S369" i="2"/>
  <c r="AA369" i="2" s="1"/>
  <c r="S368" i="2"/>
  <c r="S367" i="2"/>
  <c r="AA367" i="2" s="1"/>
  <c r="S366" i="2"/>
  <c r="AA366" i="2" s="1"/>
  <c r="S365" i="2"/>
  <c r="AA365" i="2" s="1"/>
  <c r="S364" i="2"/>
  <c r="AA364" i="2" s="1"/>
  <c r="S363" i="2"/>
  <c r="S362" i="2"/>
  <c r="S361" i="2"/>
  <c r="AA361" i="2" s="1"/>
  <c r="S360" i="2"/>
  <c r="S359" i="2"/>
  <c r="S358" i="2"/>
  <c r="S357" i="2"/>
  <c r="S356" i="2"/>
  <c r="S355" i="2"/>
  <c r="S354" i="2"/>
  <c r="AA354" i="2" s="1"/>
  <c r="S353" i="2"/>
  <c r="AA353" i="2" s="1"/>
  <c r="S352" i="2"/>
  <c r="AA352" i="2" s="1"/>
  <c r="S351" i="2"/>
  <c r="S350" i="2"/>
  <c r="S349" i="2"/>
  <c r="S348" i="2"/>
  <c r="S347" i="2"/>
  <c r="S346" i="2"/>
  <c r="S345" i="2"/>
  <c r="AA345" i="2" s="1"/>
  <c r="S344" i="2"/>
  <c r="S343" i="2"/>
  <c r="AA343" i="2" s="1"/>
  <c r="S342" i="2"/>
  <c r="AA342" i="2" s="1"/>
  <c r="S341" i="2"/>
  <c r="AA341" i="2" s="1"/>
  <c r="S340" i="2"/>
  <c r="AA340" i="2" s="1"/>
  <c r="S339" i="2"/>
  <c r="S338" i="2"/>
  <c r="S337" i="2"/>
  <c r="AA337" i="2" s="1"/>
  <c r="S336" i="2"/>
  <c r="S335" i="2"/>
  <c r="S334" i="2"/>
  <c r="S333" i="2"/>
  <c r="S332" i="2"/>
  <c r="S331" i="2"/>
  <c r="AA331" i="2" s="1"/>
  <c r="S330" i="2"/>
  <c r="AA330" i="2" s="1"/>
  <c r="S329" i="2"/>
  <c r="AA329" i="2" s="1"/>
  <c r="S328" i="2"/>
  <c r="AA328" i="2" s="1"/>
  <c r="S327" i="2"/>
  <c r="S326" i="2"/>
  <c r="S325" i="2"/>
  <c r="S324" i="2"/>
  <c r="S323" i="2"/>
  <c r="S322" i="2"/>
  <c r="S321" i="2"/>
  <c r="AA321" i="2" s="1"/>
  <c r="S320" i="2"/>
  <c r="S319" i="2"/>
  <c r="S318" i="2"/>
  <c r="AA318" i="2" s="1"/>
  <c r="S317" i="2"/>
  <c r="AA317" i="2" s="1"/>
  <c r="S316" i="2"/>
  <c r="AA316" i="2" s="1"/>
  <c r="S315" i="2"/>
  <c r="S314" i="2"/>
  <c r="S313" i="2"/>
  <c r="AA313" i="2" s="1"/>
  <c r="S312" i="2"/>
  <c r="S311" i="2"/>
  <c r="S310" i="2"/>
  <c r="S309" i="2"/>
  <c r="S308" i="2"/>
  <c r="AA308" i="2" s="1"/>
  <c r="S307" i="2"/>
  <c r="S306" i="2"/>
  <c r="AA306" i="2" s="1"/>
  <c r="S305" i="2"/>
  <c r="AA305" i="2" s="1"/>
  <c r="S304" i="2"/>
  <c r="S303" i="2"/>
  <c r="S302" i="2"/>
  <c r="S301" i="2"/>
  <c r="S300" i="2"/>
  <c r="S299" i="2"/>
  <c r="S298" i="2"/>
  <c r="S297" i="2"/>
  <c r="AA297" i="2" s="1"/>
  <c r="S296" i="2"/>
  <c r="AA296" i="2" s="1"/>
  <c r="S295" i="2"/>
  <c r="AA295" i="2" s="1"/>
  <c r="S294" i="2"/>
  <c r="AA294" i="2" s="1"/>
  <c r="S293" i="2"/>
  <c r="AA293" i="2" s="1"/>
  <c r="S292" i="2"/>
  <c r="AA292" i="2" s="1"/>
  <c r="S291" i="2"/>
  <c r="S290" i="2"/>
  <c r="S289" i="2"/>
  <c r="AA289" i="2" s="1"/>
  <c r="S288" i="2"/>
  <c r="S287" i="2"/>
  <c r="S286" i="2"/>
  <c r="S285" i="2"/>
  <c r="S284" i="2"/>
  <c r="AA284" i="2" s="1"/>
  <c r="S283" i="2"/>
  <c r="AA283" i="2" s="1"/>
  <c r="S282" i="2"/>
  <c r="AA282" i="2" s="1"/>
  <c r="S281" i="2"/>
  <c r="AA281" i="2" s="1"/>
  <c r="S280" i="2"/>
  <c r="AA280" i="2" s="1"/>
  <c r="S279" i="2"/>
  <c r="S278" i="2"/>
  <c r="AA278" i="2" s="1"/>
  <c r="S277" i="2"/>
  <c r="S276" i="2"/>
  <c r="S275" i="2"/>
  <c r="S274" i="2"/>
  <c r="S273" i="2"/>
  <c r="AA273" i="2" s="1"/>
  <c r="S272" i="2"/>
  <c r="S271" i="2"/>
  <c r="AA271" i="2" s="1"/>
  <c r="S270" i="2"/>
  <c r="AA270" i="2" s="1"/>
  <c r="S269" i="2"/>
  <c r="S268" i="2"/>
  <c r="AA268" i="2" s="1"/>
  <c r="S267" i="2"/>
  <c r="S266" i="2"/>
  <c r="S265" i="2"/>
  <c r="S264" i="2"/>
  <c r="S263" i="2"/>
  <c r="S262" i="2"/>
  <c r="S261" i="2"/>
  <c r="S260" i="2"/>
  <c r="AA260" i="2" s="1"/>
  <c r="S259" i="2"/>
  <c r="S258" i="2"/>
  <c r="AA258" i="2" s="1"/>
  <c r="S257" i="2"/>
  <c r="AA257" i="2" s="1"/>
  <c r="S256" i="2"/>
  <c r="AA256" i="2" s="1"/>
  <c r="S255" i="2"/>
  <c r="S254" i="2"/>
  <c r="S253" i="2"/>
  <c r="S252" i="2"/>
  <c r="S251" i="2"/>
  <c r="S250" i="2"/>
  <c r="S249" i="2"/>
  <c r="AA249" i="2" s="1"/>
  <c r="S248" i="2"/>
  <c r="S247" i="2"/>
  <c r="S246" i="2"/>
  <c r="AA246" i="2" s="1"/>
  <c r="S245" i="2"/>
  <c r="AA245" i="2" s="1"/>
  <c r="S244" i="2"/>
  <c r="AA244" i="2" s="1"/>
  <c r="S243" i="2"/>
  <c r="S242" i="2"/>
  <c r="AA242" i="2" s="1"/>
  <c r="S241" i="2"/>
  <c r="AA241" i="2" s="1"/>
  <c r="S240" i="2"/>
  <c r="S239" i="2"/>
  <c r="S238" i="2"/>
  <c r="S237" i="2"/>
  <c r="S236" i="2"/>
  <c r="S235" i="2"/>
  <c r="AA235" i="2" s="1"/>
  <c r="S234" i="2"/>
  <c r="AA234" i="2" s="1"/>
  <c r="S233" i="2"/>
  <c r="AA233" i="2" s="1"/>
  <c r="S232" i="2"/>
  <c r="AA232" i="2" s="1"/>
  <c r="S231" i="2"/>
  <c r="S230" i="2"/>
  <c r="AA230" i="2" s="1"/>
  <c r="S229" i="2"/>
  <c r="S228" i="2"/>
  <c r="S227" i="2"/>
  <c r="S226" i="2"/>
  <c r="S225" i="2"/>
  <c r="AA225" i="2" s="1"/>
  <c r="S224" i="2"/>
  <c r="AA224" i="2" s="1"/>
  <c r="S223" i="2"/>
  <c r="AA223" i="2" s="1"/>
  <c r="S222" i="2"/>
  <c r="AA222" i="2" s="1"/>
  <c r="S221" i="2"/>
  <c r="S220" i="2"/>
  <c r="AA220" i="2" s="1"/>
  <c r="S219" i="2"/>
  <c r="S218" i="2"/>
  <c r="AA218" i="2" s="1"/>
  <c r="S217" i="2"/>
  <c r="AA217" i="2" s="1"/>
  <c r="S216" i="2"/>
  <c r="S215" i="2"/>
  <c r="S214" i="2"/>
  <c r="S213" i="2"/>
  <c r="S212" i="2"/>
  <c r="AA212" i="2" s="1"/>
  <c r="S211" i="2"/>
  <c r="AA211" i="2" s="1"/>
  <c r="S210" i="2"/>
  <c r="AA210" i="2" s="1"/>
  <c r="S209" i="2"/>
  <c r="AA209" i="2" s="1"/>
  <c r="S208" i="2"/>
  <c r="AA208" i="2" s="1"/>
  <c r="S207" i="2"/>
  <c r="S206" i="2"/>
  <c r="AA206" i="2" s="1"/>
  <c r="S205" i="2"/>
  <c r="S204" i="2"/>
  <c r="S203" i="2"/>
  <c r="S202" i="2"/>
  <c r="S201" i="2"/>
  <c r="AA201" i="2" s="1"/>
  <c r="S200" i="2"/>
  <c r="AA200" i="2" s="1"/>
  <c r="S199" i="2"/>
  <c r="AA199" i="2" s="1"/>
  <c r="S198" i="2"/>
  <c r="AA198" i="2" s="1"/>
  <c r="S197" i="2"/>
  <c r="AA197" i="2" s="1"/>
  <c r="S196" i="2"/>
  <c r="S195" i="2"/>
  <c r="S194" i="2"/>
  <c r="AA194" i="2" s="1"/>
  <c r="S193" i="2"/>
  <c r="AA193" i="2" s="1"/>
  <c r="S192" i="2"/>
  <c r="S191" i="2"/>
  <c r="S190" i="2"/>
  <c r="S189" i="2"/>
  <c r="S188" i="2"/>
  <c r="S187" i="2"/>
  <c r="AA187" i="2" s="1"/>
  <c r="S186" i="2"/>
  <c r="AA186" i="2" s="1"/>
  <c r="S185" i="2"/>
  <c r="AA185" i="2" s="1"/>
  <c r="S184" i="2"/>
  <c r="AA184" i="2" s="1"/>
  <c r="S183" i="2"/>
  <c r="S182" i="2"/>
  <c r="AA182" i="2" s="1"/>
  <c r="S181" i="2"/>
  <c r="S180" i="2"/>
  <c r="S179" i="2"/>
  <c r="S178" i="2"/>
  <c r="S177" i="2"/>
  <c r="AA177" i="2" s="1"/>
  <c r="S176" i="2"/>
  <c r="AA176" i="2" s="1"/>
  <c r="S175" i="2"/>
  <c r="AA175" i="2" s="1"/>
  <c r="S174" i="2"/>
  <c r="AA174" i="2" s="1"/>
  <c r="S173" i="2"/>
  <c r="AA173" i="2" s="1"/>
  <c r="S172" i="2"/>
  <c r="AA172" i="2" s="1"/>
  <c r="S171" i="2"/>
  <c r="S170" i="2"/>
  <c r="AA170" i="2" s="1"/>
  <c r="S169" i="2"/>
  <c r="AA169" i="2" s="1"/>
  <c r="S168" i="2"/>
  <c r="S167" i="2"/>
  <c r="S166" i="2"/>
  <c r="S165" i="2"/>
  <c r="S164" i="2"/>
  <c r="AA164" i="2" s="1"/>
  <c r="S163" i="2"/>
  <c r="AA163" i="2" s="1"/>
  <c r="S162" i="2"/>
  <c r="AA162" i="2" s="1"/>
  <c r="S161" i="2"/>
  <c r="AA161" i="2" s="1"/>
  <c r="S160" i="2"/>
  <c r="AA160" i="2" s="1"/>
  <c r="S159" i="2"/>
  <c r="S158" i="2"/>
  <c r="AA158" i="2" s="1"/>
  <c r="S157" i="2"/>
  <c r="S156" i="2"/>
  <c r="S155" i="2"/>
  <c r="S154" i="2"/>
  <c r="S153" i="2"/>
  <c r="AA153" i="2" s="1"/>
  <c r="S152" i="2"/>
  <c r="S151" i="2"/>
  <c r="S150" i="2"/>
  <c r="AA150" i="2" s="1"/>
  <c r="S149" i="2"/>
  <c r="AA149" i="2" s="1"/>
  <c r="S148" i="2"/>
  <c r="AA148" i="2" s="1"/>
  <c r="S147" i="2"/>
  <c r="S146" i="2"/>
  <c r="S145" i="2"/>
  <c r="S144" i="2"/>
  <c r="S143" i="2"/>
  <c r="S142" i="2"/>
  <c r="S141" i="2"/>
  <c r="S140" i="2"/>
  <c r="S139" i="2"/>
  <c r="S138" i="2"/>
  <c r="AA138" i="2" s="1"/>
  <c r="S137" i="2"/>
  <c r="AA137" i="2" s="1"/>
  <c r="S136" i="2"/>
  <c r="AA136" i="2" s="1"/>
  <c r="S135" i="2"/>
  <c r="S134" i="2"/>
  <c r="S133" i="2"/>
  <c r="S132" i="2"/>
  <c r="S131" i="2"/>
  <c r="AA131" i="2" s="1"/>
  <c r="S130" i="2"/>
  <c r="S129" i="2"/>
  <c r="AA129" i="2" s="1"/>
  <c r="S128" i="2"/>
  <c r="S127" i="2"/>
  <c r="S126" i="2"/>
  <c r="AA126" i="2" s="1"/>
  <c r="S125" i="2"/>
  <c r="AA125" i="2" s="1"/>
  <c r="S124" i="2"/>
  <c r="AA124" i="2" s="1"/>
  <c r="S123" i="2"/>
  <c r="S122" i="2"/>
  <c r="S121" i="2"/>
  <c r="AA121" i="2" s="1"/>
  <c r="S120" i="2"/>
  <c r="S119" i="2"/>
  <c r="S118" i="2"/>
  <c r="S117" i="2"/>
  <c r="S116" i="2"/>
  <c r="S115" i="2"/>
  <c r="S114" i="2"/>
  <c r="AA114" i="2" s="1"/>
  <c r="S113" i="2"/>
  <c r="AA113" i="2" s="1"/>
  <c r="S112" i="2"/>
  <c r="AA112" i="2" s="1"/>
  <c r="S111" i="2"/>
  <c r="S110" i="2"/>
  <c r="S109" i="2"/>
  <c r="S108" i="2"/>
  <c r="S107" i="2"/>
  <c r="S106" i="2"/>
  <c r="S105" i="2"/>
  <c r="AA105" i="2" s="1"/>
  <c r="S104" i="2"/>
  <c r="S103" i="2"/>
  <c r="S102" i="2"/>
  <c r="AA102" i="2" s="1"/>
  <c r="S101" i="2"/>
  <c r="AA101" i="2" s="1"/>
  <c r="S100" i="2"/>
  <c r="AA100" i="2" s="1"/>
  <c r="S99" i="2"/>
  <c r="S98" i="2"/>
  <c r="S97" i="2"/>
  <c r="AA97" i="2" s="1"/>
  <c r="S96" i="2"/>
  <c r="S95" i="2"/>
  <c r="S94" i="2"/>
  <c r="S93" i="2"/>
  <c r="S92" i="2"/>
  <c r="S91" i="2"/>
  <c r="S90" i="2"/>
  <c r="AA90" i="2" s="1"/>
  <c r="S89" i="2"/>
  <c r="AA89" i="2" s="1"/>
  <c r="S88" i="2"/>
  <c r="S87" i="2"/>
  <c r="S86" i="2"/>
  <c r="S85" i="2"/>
  <c r="S84" i="2"/>
  <c r="S83" i="2"/>
  <c r="S82" i="2"/>
  <c r="S81" i="2"/>
  <c r="S80" i="2"/>
  <c r="AA80" i="2" s="1"/>
  <c r="S79" i="2"/>
  <c r="AA79" i="2" s="1"/>
  <c r="S78" i="2"/>
  <c r="AA78" i="2" s="1"/>
  <c r="S77" i="2"/>
  <c r="AA77" i="2" s="1"/>
  <c r="S76" i="2"/>
  <c r="AA76" i="2" s="1"/>
  <c r="S75" i="2"/>
  <c r="S74" i="2"/>
  <c r="S73" i="2"/>
  <c r="AA73" i="2" s="1"/>
  <c r="S72" i="2"/>
  <c r="S71" i="2"/>
  <c r="S70" i="2"/>
  <c r="S69" i="2"/>
  <c r="S68" i="2"/>
  <c r="S67" i="2"/>
  <c r="S66" i="2"/>
  <c r="AA66" i="2" s="1"/>
  <c r="S65" i="2"/>
  <c r="AA65" i="2" s="1"/>
  <c r="S64" i="2"/>
  <c r="AA64" i="2" s="1"/>
  <c r="S63" i="2"/>
  <c r="S62" i="2"/>
  <c r="AA62" i="2" s="1"/>
  <c r="S61" i="2"/>
  <c r="AA61" i="2" s="1"/>
  <c r="S60" i="2"/>
  <c r="AA60" i="2" s="1"/>
  <c r="S59" i="2"/>
  <c r="AA59" i="2" s="1"/>
  <c r="S58" i="2"/>
  <c r="AA58" i="2" s="1"/>
  <c r="S57" i="2"/>
  <c r="AA57" i="2" s="1"/>
  <c r="S56" i="2"/>
  <c r="S55" i="2"/>
  <c r="S54" i="2"/>
  <c r="AA54" i="2" s="1"/>
  <c r="S53" i="2"/>
  <c r="AA53" i="2" s="1"/>
  <c r="S52" i="2"/>
  <c r="AA52" i="2" s="1"/>
  <c r="S51" i="2"/>
  <c r="S50" i="2"/>
  <c r="S49" i="2"/>
  <c r="S48" i="2"/>
  <c r="S47" i="2"/>
  <c r="S46" i="2"/>
  <c r="S45" i="2"/>
  <c r="AA45" i="2" s="1"/>
  <c r="S44" i="2"/>
  <c r="AA44" i="2" s="1"/>
  <c r="S43" i="2"/>
  <c r="AA43" i="2" s="1"/>
  <c r="S42" i="2"/>
  <c r="AA42" i="2" s="1"/>
  <c r="S41" i="2"/>
  <c r="AA41" i="2" s="1"/>
  <c r="S40" i="2"/>
  <c r="AA40" i="2" s="1"/>
  <c r="S39" i="2"/>
  <c r="S38" i="2"/>
  <c r="S37" i="2"/>
  <c r="S36" i="2"/>
  <c r="AA36" i="2" s="1"/>
  <c r="S35" i="2"/>
  <c r="S34" i="2"/>
  <c r="S33" i="2"/>
  <c r="AA33" i="2" s="1"/>
  <c r="S32" i="2"/>
  <c r="S31" i="2"/>
  <c r="S30" i="2"/>
  <c r="AA30" i="2" s="1"/>
  <c r="S29" i="2"/>
  <c r="S28" i="2"/>
  <c r="AA28" i="2" s="1"/>
  <c r="S27" i="2"/>
  <c r="AA27" i="2" s="1"/>
  <c r="S25" i="2"/>
  <c r="AA25" i="2" s="1"/>
  <c r="S4" i="2"/>
  <c r="AA4" i="2" s="1"/>
  <c r="N25" i="9"/>
  <c r="AA453" i="2"/>
  <c r="AA447" i="2"/>
  <c r="AA446" i="2"/>
  <c r="AA444" i="2"/>
  <c r="AA443" i="2"/>
  <c r="AA440" i="2"/>
  <c r="AA539" i="2"/>
  <c r="AA538" i="2"/>
  <c r="AA530" i="2"/>
  <c r="AA527" i="2"/>
  <c r="AA526" i="2"/>
  <c r="AA523" i="2"/>
  <c r="AA519" i="2"/>
  <c r="AA515" i="2"/>
  <c r="AA514" i="2"/>
  <c r="AA512" i="2"/>
  <c r="AA507" i="2"/>
  <c r="AA506" i="2"/>
  <c r="AA503" i="2"/>
  <c r="AA502" i="2"/>
  <c r="AA501" i="2"/>
  <c r="AA500" i="2"/>
  <c r="AA499" i="2"/>
  <c r="AA495" i="2"/>
  <c r="AA494" i="2"/>
  <c r="AA493" i="2"/>
  <c r="AA492" i="2"/>
  <c r="AA491" i="2"/>
  <c r="AA490" i="2"/>
  <c r="AA488" i="2"/>
  <c r="AA487" i="2"/>
  <c r="AA485" i="2"/>
  <c r="AA482" i="2"/>
  <c r="AA480" i="2"/>
  <c r="AA479" i="2"/>
  <c r="AA477" i="2"/>
  <c r="AA475" i="2"/>
  <c r="AA471" i="2"/>
  <c r="AA470" i="2"/>
  <c r="AA468" i="2"/>
  <c r="AA467" i="2"/>
  <c r="AA466" i="2"/>
  <c r="AA464" i="2"/>
  <c r="AA458" i="2"/>
  <c r="AA455" i="2"/>
  <c r="AA454" i="2"/>
  <c r="AD30" i="2"/>
  <c r="AD29" i="2"/>
  <c r="AD31" i="2"/>
  <c r="AD32" i="2"/>
  <c r="AD33" i="2"/>
  <c r="AD34" i="2"/>
  <c r="AD35" i="2"/>
  <c r="T6" i="4"/>
  <c r="B32" i="9" s="1"/>
  <c r="AD424" i="2"/>
  <c r="AD423" i="2"/>
  <c r="AD422" i="2"/>
  <c r="AD421" i="2"/>
  <c r="AD420" i="2"/>
  <c r="AD419" i="2"/>
  <c r="AD418" i="2"/>
  <c r="AD543" i="2"/>
  <c r="AD542" i="2"/>
  <c r="AD541" i="2"/>
  <c r="AD540" i="2"/>
  <c r="AD539" i="2"/>
  <c r="AD538" i="2"/>
  <c r="AD537" i="2"/>
  <c r="AD536" i="2"/>
  <c r="AD535" i="2"/>
  <c r="AD534" i="2"/>
  <c r="AD533" i="2"/>
  <c r="AD532" i="2"/>
  <c r="AD531" i="2"/>
  <c r="AD530" i="2"/>
  <c r="AD529" i="2"/>
  <c r="AD528" i="2"/>
  <c r="AD527" i="2"/>
  <c r="AD526" i="2"/>
  <c r="AD525" i="2"/>
  <c r="AD524" i="2"/>
  <c r="AD523" i="2"/>
  <c r="AD522" i="2"/>
  <c r="AD521" i="2"/>
  <c r="AD520" i="2"/>
  <c r="AD519" i="2"/>
  <c r="AD518" i="2"/>
  <c r="AD517" i="2"/>
  <c r="AD516" i="2"/>
  <c r="AD515" i="2"/>
  <c r="AD514" i="2"/>
  <c r="AD513" i="2"/>
  <c r="AD512" i="2"/>
  <c r="AD511" i="2"/>
  <c r="AD510" i="2"/>
  <c r="AD509" i="2"/>
  <c r="AD508" i="2"/>
  <c r="AD507" i="2"/>
  <c r="AD506" i="2"/>
  <c r="AD505" i="2"/>
  <c r="AD504" i="2"/>
  <c r="AD503" i="2"/>
  <c r="AD502" i="2"/>
  <c r="AD501" i="2"/>
  <c r="AD500" i="2"/>
  <c r="AD499" i="2"/>
  <c r="AD498" i="2"/>
  <c r="AD497" i="2"/>
  <c r="AD496" i="2"/>
  <c r="AD495" i="2"/>
  <c r="AD494" i="2"/>
  <c r="AD493" i="2"/>
  <c r="AD492" i="2"/>
  <c r="AD491" i="2"/>
  <c r="AD490" i="2"/>
  <c r="AD489" i="2"/>
  <c r="AD488" i="2"/>
  <c r="AD487" i="2"/>
  <c r="AD486" i="2"/>
  <c r="AD485" i="2"/>
  <c r="AD484" i="2"/>
  <c r="AD483" i="2"/>
  <c r="AD482" i="2"/>
  <c r="AD481" i="2"/>
  <c r="AD480" i="2"/>
  <c r="AD479" i="2"/>
  <c r="AD478" i="2"/>
  <c r="AD477" i="2"/>
  <c r="AD476" i="2"/>
  <c r="AD475" i="2"/>
  <c r="AD474" i="2"/>
  <c r="AD473" i="2"/>
  <c r="AD472" i="2"/>
  <c r="AD471" i="2"/>
  <c r="AD470" i="2"/>
  <c r="AD469" i="2"/>
  <c r="AD468" i="2"/>
  <c r="AD467" i="2"/>
  <c r="AD466" i="2"/>
  <c r="AD465" i="2"/>
  <c r="AD464" i="2"/>
  <c r="AD463" i="2"/>
  <c r="AD462" i="2"/>
  <c r="AD461" i="2"/>
  <c r="AD460" i="2"/>
  <c r="AD459" i="2"/>
  <c r="AD458" i="2"/>
  <c r="AD457" i="2"/>
  <c r="AD456" i="2"/>
  <c r="AD455" i="2"/>
  <c r="AD454" i="2"/>
  <c r="AD453" i="2"/>
  <c r="AD452" i="2"/>
  <c r="AD451" i="2"/>
  <c r="AD450" i="2"/>
  <c r="AD449" i="2"/>
  <c r="AD448" i="2"/>
  <c r="AD447" i="2"/>
  <c r="AD446" i="2"/>
  <c r="AD445" i="2"/>
  <c r="AD444" i="2"/>
  <c r="AD443" i="2"/>
  <c r="AD442" i="2"/>
  <c r="AD441" i="2"/>
  <c r="AD440" i="2"/>
  <c r="AD439" i="2"/>
  <c r="AD438" i="2"/>
  <c r="AD437" i="2"/>
  <c r="AD436" i="2"/>
  <c r="AD435" i="2"/>
  <c r="AD434" i="2"/>
  <c r="AD433" i="2"/>
  <c r="AD432" i="2"/>
  <c r="AD431" i="2"/>
  <c r="AD430" i="2"/>
  <c r="AD429" i="2"/>
  <c r="AD428" i="2"/>
  <c r="AD427" i="2"/>
  <c r="AD426" i="2"/>
  <c r="AD417" i="2"/>
  <c r="AD416" i="2"/>
  <c r="AD415" i="2"/>
  <c r="AD414" i="2"/>
  <c r="AD413" i="2"/>
  <c r="AD412" i="2"/>
  <c r="AD411" i="2"/>
  <c r="AD410" i="2"/>
  <c r="AD409" i="2"/>
  <c r="AD408" i="2"/>
  <c r="AD407" i="2"/>
  <c r="AD406" i="2"/>
  <c r="AD405" i="2"/>
  <c r="AD404" i="2"/>
  <c r="AD403" i="2"/>
  <c r="AD402" i="2"/>
  <c r="AD401" i="2"/>
  <c r="AD400" i="2"/>
  <c r="AD399" i="2"/>
  <c r="AD398" i="2"/>
  <c r="AD397" i="2"/>
  <c r="AD396" i="2"/>
  <c r="AD395" i="2"/>
  <c r="AD394" i="2"/>
  <c r="AD393" i="2"/>
  <c r="AD392" i="2"/>
  <c r="AD391" i="2"/>
  <c r="AD390" i="2"/>
  <c r="AD389" i="2"/>
  <c r="AD388" i="2"/>
  <c r="AD387" i="2"/>
  <c r="AD386" i="2"/>
  <c r="AD385" i="2"/>
  <c r="AD384" i="2"/>
  <c r="AD383" i="2"/>
  <c r="AD382" i="2"/>
  <c r="AD381" i="2"/>
  <c r="AD380" i="2"/>
  <c r="AD379" i="2"/>
  <c r="AD378" i="2"/>
  <c r="AD377" i="2"/>
  <c r="AD376" i="2"/>
  <c r="AD375" i="2"/>
  <c r="AD374" i="2"/>
  <c r="AD373" i="2"/>
  <c r="AD372" i="2"/>
  <c r="AD371" i="2"/>
  <c r="AD370" i="2"/>
  <c r="AD369" i="2"/>
  <c r="AD368" i="2"/>
  <c r="AD367" i="2"/>
  <c r="AD366" i="2"/>
  <c r="AD365" i="2"/>
  <c r="AD364" i="2"/>
  <c r="AD363" i="2"/>
  <c r="AD362" i="2"/>
  <c r="AD361" i="2"/>
  <c r="AD360" i="2"/>
  <c r="AD359" i="2"/>
  <c r="AD358" i="2"/>
  <c r="AD357" i="2"/>
  <c r="AD356" i="2"/>
  <c r="AD355" i="2"/>
  <c r="AD354" i="2"/>
  <c r="AD353" i="2"/>
  <c r="AD352" i="2"/>
  <c r="AD351" i="2"/>
  <c r="AD350" i="2"/>
  <c r="AD349" i="2"/>
  <c r="AD348" i="2"/>
  <c r="AD347" i="2"/>
  <c r="AD346" i="2"/>
  <c r="AD345" i="2"/>
  <c r="AD344" i="2"/>
  <c r="AD343" i="2"/>
  <c r="AD342" i="2"/>
  <c r="AD341" i="2"/>
  <c r="AD340" i="2"/>
  <c r="AD339" i="2"/>
  <c r="AD338" i="2"/>
  <c r="AD337" i="2"/>
  <c r="AD336" i="2"/>
  <c r="AD335" i="2"/>
  <c r="AD334" i="2"/>
  <c r="AD333" i="2"/>
  <c r="AD332" i="2"/>
  <c r="AD331" i="2"/>
  <c r="AD330" i="2"/>
  <c r="AD329" i="2"/>
  <c r="AD328" i="2"/>
  <c r="AD327" i="2"/>
  <c r="AD326" i="2"/>
  <c r="AD325" i="2"/>
  <c r="AD324" i="2"/>
  <c r="AD323" i="2"/>
  <c r="AD322" i="2"/>
  <c r="AD321" i="2"/>
  <c r="AD320" i="2"/>
  <c r="AD319" i="2"/>
  <c r="AD318" i="2"/>
  <c r="AD317" i="2"/>
  <c r="AD316" i="2"/>
  <c r="AD315" i="2"/>
  <c r="AD314" i="2"/>
  <c r="AD313" i="2"/>
  <c r="AD312" i="2"/>
  <c r="AD311" i="2"/>
  <c r="AD310" i="2"/>
  <c r="AD309" i="2"/>
  <c r="AD308" i="2"/>
  <c r="AD307" i="2"/>
  <c r="AD306" i="2"/>
  <c r="AD305" i="2"/>
  <c r="AD304" i="2"/>
  <c r="AD303" i="2"/>
  <c r="AD302" i="2"/>
  <c r="AD301" i="2"/>
  <c r="AD300" i="2"/>
  <c r="AD299" i="2"/>
  <c r="AD298" i="2"/>
  <c r="AD297" i="2"/>
  <c r="AD296" i="2"/>
  <c r="AD295" i="2"/>
  <c r="AD294" i="2"/>
  <c r="AD293" i="2"/>
  <c r="AD292" i="2"/>
  <c r="AD291" i="2"/>
  <c r="AD290" i="2"/>
  <c r="AD289" i="2"/>
  <c r="AD288" i="2"/>
  <c r="AD287" i="2"/>
  <c r="AD286" i="2"/>
  <c r="AD285" i="2"/>
  <c r="AD284" i="2"/>
  <c r="AD283" i="2"/>
  <c r="AD282" i="2"/>
  <c r="AD281" i="2"/>
  <c r="AD280" i="2"/>
  <c r="AD279" i="2"/>
  <c r="AD278" i="2"/>
  <c r="AD277" i="2"/>
  <c r="AD276" i="2"/>
  <c r="AD275" i="2"/>
  <c r="AD274" i="2"/>
  <c r="AD273" i="2"/>
  <c r="AD272" i="2"/>
  <c r="AD271" i="2"/>
  <c r="AD270" i="2"/>
  <c r="AD269" i="2"/>
  <c r="AD268" i="2"/>
  <c r="AD267" i="2"/>
  <c r="AD266" i="2"/>
  <c r="AD265" i="2"/>
  <c r="AD264" i="2"/>
  <c r="AD263" i="2"/>
  <c r="AD262" i="2"/>
  <c r="AD261" i="2"/>
  <c r="AD260" i="2"/>
  <c r="AD259" i="2"/>
  <c r="AD258" i="2"/>
  <c r="AD257" i="2"/>
  <c r="AD256" i="2"/>
  <c r="AD255" i="2"/>
  <c r="AD254" i="2"/>
  <c r="AD253" i="2"/>
  <c r="AD252" i="2"/>
  <c r="AD251" i="2"/>
  <c r="AD250" i="2"/>
  <c r="AD249" i="2"/>
  <c r="AD248" i="2"/>
  <c r="AD247" i="2"/>
  <c r="AD246" i="2"/>
  <c r="AD245" i="2"/>
  <c r="AD244" i="2"/>
  <c r="AD243" i="2"/>
  <c r="AD242" i="2"/>
  <c r="AD241" i="2"/>
  <c r="AD240" i="2"/>
  <c r="AD239" i="2"/>
  <c r="AD238" i="2"/>
  <c r="AD237" i="2"/>
  <c r="AD236" i="2"/>
  <c r="AD235" i="2"/>
  <c r="AD234" i="2"/>
  <c r="AD233" i="2"/>
  <c r="AD232" i="2"/>
  <c r="AD231" i="2"/>
  <c r="AD230" i="2"/>
  <c r="AD229" i="2"/>
  <c r="AD228" i="2"/>
  <c r="AD227" i="2"/>
  <c r="AD226" i="2"/>
  <c r="AD225" i="2"/>
  <c r="AD224" i="2"/>
  <c r="AD223" i="2"/>
  <c r="AD222" i="2"/>
  <c r="AD221" i="2"/>
  <c r="AD220" i="2"/>
  <c r="AD219" i="2"/>
  <c r="AD218" i="2"/>
  <c r="AD217" i="2"/>
  <c r="AD216" i="2"/>
  <c r="AD215" i="2"/>
  <c r="AD214" i="2"/>
  <c r="AD213" i="2"/>
  <c r="AD212" i="2"/>
  <c r="AD211" i="2"/>
  <c r="AD210" i="2"/>
  <c r="AD209" i="2"/>
  <c r="AD208" i="2"/>
  <c r="AD207" i="2"/>
  <c r="AD206" i="2"/>
  <c r="AD205" i="2"/>
  <c r="AD204" i="2"/>
  <c r="AD203" i="2"/>
  <c r="AD202" i="2"/>
  <c r="AD201" i="2"/>
  <c r="AD200" i="2"/>
  <c r="AD199" i="2"/>
  <c r="AD198" i="2"/>
  <c r="AD197" i="2"/>
  <c r="AD196" i="2"/>
  <c r="AD195" i="2"/>
  <c r="AD194" i="2"/>
  <c r="AD193" i="2"/>
  <c r="AD192" i="2"/>
  <c r="AD191" i="2"/>
  <c r="AD190" i="2"/>
  <c r="AD189" i="2"/>
  <c r="AD188" i="2"/>
  <c r="AD187" i="2"/>
  <c r="AD186" i="2"/>
  <c r="AD185" i="2"/>
  <c r="AD184" i="2"/>
  <c r="AD183" i="2"/>
  <c r="AD182" i="2"/>
  <c r="AD181" i="2"/>
  <c r="AD180" i="2"/>
  <c r="AD179" i="2"/>
  <c r="AD178" i="2"/>
  <c r="AD177" i="2"/>
  <c r="AD176" i="2"/>
  <c r="AD175" i="2"/>
  <c r="AD174" i="2"/>
  <c r="AD173" i="2"/>
  <c r="AD172" i="2"/>
  <c r="AD171" i="2"/>
  <c r="AD170" i="2"/>
  <c r="AD169" i="2"/>
  <c r="AD168" i="2"/>
  <c r="AD167" i="2"/>
  <c r="AD166" i="2"/>
  <c r="AD165" i="2"/>
  <c r="AD164" i="2"/>
  <c r="AD163" i="2"/>
  <c r="AD162" i="2"/>
  <c r="AD161" i="2"/>
  <c r="AD160" i="2"/>
  <c r="AD159" i="2"/>
  <c r="AD158" i="2"/>
  <c r="AD157" i="2"/>
  <c r="AD156" i="2"/>
  <c r="AD155" i="2"/>
  <c r="AD154" i="2"/>
  <c r="AD153" i="2"/>
  <c r="AD152" i="2"/>
  <c r="AD151" i="2"/>
  <c r="AD150" i="2"/>
  <c r="AD149" i="2"/>
  <c r="AD148" i="2"/>
  <c r="AD147" i="2"/>
  <c r="AD146" i="2"/>
  <c r="AD145" i="2"/>
  <c r="AD144" i="2"/>
  <c r="AD143" i="2"/>
  <c r="AD142" i="2"/>
  <c r="AD141" i="2"/>
  <c r="AD140" i="2"/>
  <c r="AD139" i="2"/>
  <c r="AD138" i="2"/>
  <c r="AD137" i="2"/>
  <c r="AD136" i="2"/>
  <c r="AD135" i="2"/>
  <c r="AD134" i="2"/>
  <c r="AD133" i="2"/>
  <c r="AD132" i="2"/>
  <c r="AD131" i="2"/>
  <c r="AD130" i="2"/>
  <c r="AD129" i="2"/>
  <c r="AD128" i="2"/>
  <c r="AD127" i="2"/>
  <c r="AD126" i="2"/>
  <c r="AD125" i="2"/>
  <c r="AD124" i="2"/>
  <c r="AD123" i="2"/>
  <c r="AD122" i="2"/>
  <c r="AD121" i="2"/>
  <c r="AD120" i="2"/>
  <c r="AD119" i="2"/>
  <c r="AD118" i="2"/>
  <c r="AD117" i="2"/>
  <c r="AD116" i="2"/>
  <c r="AD115" i="2"/>
  <c r="AD114" i="2"/>
  <c r="AD113" i="2"/>
  <c r="AD112" i="2"/>
  <c r="AD111" i="2"/>
  <c r="AD110" i="2"/>
  <c r="AD109" i="2"/>
  <c r="AD108" i="2"/>
  <c r="AD107" i="2"/>
  <c r="AD106" i="2"/>
  <c r="AD105" i="2"/>
  <c r="AD104" i="2"/>
  <c r="AD103" i="2"/>
  <c r="AD102" i="2"/>
  <c r="AD101" i="2"/>
  <c r="AD100" i="2"/>
  <c r="AD99" i="2"/>
  <c r="AD98" i="2"/>
  <c r="AD97" i="2"/>
  <c r="AD96" i="2"/>
  <c r="AD95" i="2"/>
  <c r="AD94" i="2"/>
  <c r="AD93" i="2"/>
  <c r="AD92" i="2"/>
  <c r="AD91" i="2"/>
  <c r="AD90" i="2"/>
  <c r="AD89" i="2"/>
  <c r="AD88" i="2"/>
  <c r="AD87" i="2"/>
  <c r="AD86" i="2"/>
  <c r="AD85" i="2"/>
  <c r="AD84" i="2"/>
  <c r="AD83" i="2"/>
  <c r="AD82" i="2"/>
  <c r="AD81" i="2"/>
  <c r="AD80" i="2"/>
  <c r="AD79" i="2"/>
  <c r="AD78" i="2"/>
  <c r="AD77" i="2"/>
  <c r="AD76" i="2"/>
  <c r="AD75" i="2"/>
  <c r="AD74" i="2"/>
  <c r="AD73" i="2"/>
  <c r="AD72" i="2"/>
  <c r="AD71" i="2"/>
  <c r="AD70" i="2"/>
  <c r="AD69" i="2"/>
  <c r="AD68" i="2"/>
  <c r="AD67" i="2"/>
  <c r="AD66" i="2"/>
  <c r="AD65" i="2"/>
  <c r="AD64" i="2"/>
  <c r="AD63" i="2"/>
  <c r="AD62" i="2"/>
  <c r="AD61" i="2"/>
  <c r="AD60" i="2"/>
  <c r="AD59" i="2"/>
  <c r="AD58" i="2"/>
  <c r="AD57" i="2"/>
  <c r="AD56" i="2"/>
  <c r="AD55" i="2"/>
  <c r="AD54" i="2"/>
  <c r="AD53" i="2"/>
  <c r="AD52" i="2"/>
  <c r="AD51" i="2"/>
  <c r="AD50" i="2"/>
  <c r="AD49" i="2"/>
  <c r="AD48" i="2"/>
  <c r="AD47" i="2"/>
  <c r="AD46" i="2"/>
  <c r="AD45" i="2"/>
  <c r="AD44" i="2"/>
  <c r="AD43" i="2"/>
  <c r="AD42" i="2"/>
  <c r="AD41" i="2"/>
  <c r="AD40" i="2"/>
  <c r="AD39" i="2"/>
  <c r="AD38" i="2"/>
  <c r="AD37" i="2"/>
  <c r="AD36" i="2"/>
  <c r="AD28" i="2"/>
  <c r="AD27" i="2"/>
  <c r="AD26" i="2"/>
  <c r="AD25" i="2"/>
  <c r="AD24" i="2"/>
  <c r="AD23" i="2"/>
  <c r="AD22" i="2"/>
  <c r="AD21" i="2"/>
  <c r="AD20" i="2"/>
  <c r="AD19" i="2"/>
  <c r="AD18" i="2"/>
  <c r="AD17" i="2"/>
  <c r="AD16" i="2"/>
  <c r="AD15" i="2"/>
  <c r="AD14" i="2"/>
  <c r="AD13" i="2"/>
  <c r="AD12" i="2"/>
  <c r="AD11" i="2"/>
  <c r="AD10" i="2"/>
  <c r="AD9" i="2"/>
  <c r="AD8" i="2"/>
  <c r="AD7" i="2"/>
  <c r="AD6" i="2"/>
  <c r="AD5" i="2"/>
  <c r="AD4" i="2"/>
  <c r="N23" i="9"/>
  <c r="AA419" i="2"/>
  <c r="AA422" i="2"/>
  <c r="AA421" i="2"/>
  <c r="AA420" i="2"/>
  <c r="AA418" i="2"/>
  <c r="AA416" i="2"/>
  <c r="AA415" i="2"/>
  <c r="AA411" i="2"/>
  <c r="AA410" i="2"/>
  <c r="AA408" i="2"/>
  <c r="AA407" i="2"/>
  <c r="AA406" i="2"/>
  <c r="AA387" i="2"/>
  <c r="AA386" i="2"/>
  <c r="AA384" i="2"/>
  <c r="AA383" i="2"/>
  <c r="AA382" i="2"/>
  <c r="AA350" i="2"/>
  <c r="AA332" i="2"/>
  <c r="AA314" i="2"/>
  <c r="AA312" i="2"/>
  <c r="AA311" i="2"/>
  <c r="AA310" i="2"/>
  <c r="AH543" i="2"/>
  <c r="AH542" i="2"/>
  <c r="AH541" i="2"/>
  <c r="AH540" i="2"/>
  <c r="AH539" i="2"/>
  <c r="AH538" i="2"/>
  <c r="AH537" i="2"/>
  <c r="AH536" i="2"/>
  <c r="AH535" i="2"/>
  <c r="AH534" i="2"/>
  <c r="AH533" i="2"/>
  <c r="AH532" i="2"/>
  <c r="AH531" i="2"/>
  <c r="AH530" i="2"/>
  <c r="AH529" i="2"/>
  <c r="AH528" i="2"/>
  <c r="AH527" i="2"/>
  <c r="AH526" i="2"/>
  <c r="AH525" i="2"/>
  <c r="AH524" i="2"/>
  <c r="AH523" i="2"/>
  <c r="AH522" i="2"/>
  <c r="AH521" i="2"/>
  <c r="AH520" i="2"/>
  <c r="AH519" i="2"/>
  <c r="AH518" i="2"/>
  <c r="AH517" i="2"/>
  <c r="AH516" i="2"/>
  <c r="AH515" i="2"/>
  <c r="AH514" i="2"/>
  <c r="AH513" i="2"/>
  <c r="AH512" i="2"/>
  <c r="AH511" i="2"/>
  <c r="AH510" i="2"/>
  <c r="AH509" i="2"/>
  <c r="AH508" i="2"/>
  <c r="AH507" i="2"/>
  <c r="AH506" i="2"/>
  <c r="AH505" i="2"/>
  <c r="AH504" i="2"/>
  <c r="AH503" i="2"/>
  <c r="AH502" i="2"/>
  <c r="AH501" i="2"/>
  <c r="AH500" i="2"/>
  <c r="AH499" i="2"/>
  <c r="AH498" i="2"/>
  <c r="AH497" i="2"/>
  <c r="AH496" i="2"/>
  <c r="AH495" i="2"/>
  <c r="AH494" i="2"/>
  <c r="AH493" i="2"/>
  <c r="AH492" i="2"/>
  <c r="AH491" i="2"/>
  <c r="AH490" i="2"/>
  <c r="AH489" i="2"/>
  <c r="AH488" i="2"/>
  <c r="AH487" i="2"/>
  <c r="AH486" i="2"/>
  <c r="AH485" i="2"/>
  <c r="AH484" i="2"/>
  <c r="AH483" i="2"/>
  <c r="AH482" i="2"/>
  <c r="AH481" i="2"/>
  <c r="AH480" i="2"/>
  <c r="AH479" i="2"/>
  <c r="AH478" i="2"/>
  <c r="AH477" i="2"/>
  <c r="AH476" i="2"/>
  <c r="AH475" i="2"/>
  <c r="AH474" i="2"/>
  <c r="AH473" i="2"/>
  <c r="AH472" i="2"/>
  <c r="AH471" i="2"/>
  <c r="AH470" i="2"/>
  <c r="AH469" i="2"/>
  <c r="AH468" i="2"/>
  <c r="AH467" i="2"/>
  <c r="AH466" i="2"/>
  <c r="AH465" i="2"/>
  <c r="AH464" i="2"/>
  <c r="AH463" i="2"/>
  <c r="AH462" i="2"/>
  <c r="AH461" i="2"/>
  <c r="AH460" i="2"/>
  <c r="AH459" i="2"/>
  <c r="AH458" i="2"/>
  <c r="AH457" i="2"/>
  <c r="AH456" i="2"/>
  <c r="AH455" i="2"/>
  <c r="AH454" i="2"/>
  <c r="AH453" i="2"/>
  <c r="AH452" i="2"/>
  <c r="AH451" i="2"/>
  <c r="AH450" i="2"/>
  <c r="AH449" i="2"/>
  <c r="AH448" i="2"/>
  <c r="AH447" i="2"/>
  <c r="AH446" i="2"/>
  <c r="AH445" i="2"/>
  <c r="AH444" i="2"/>
  <c r="AH443" i="2"/>
  <c r="AH442" i="2"/>
  <c r="AH441" i="2"/>
  <c r="AH440" i="2"/>
  <c r="AH439" i="2"/>
  <c r="AH438" i="2"/>
  <c r="AH437" i="2"/>
  <c r="AH436" i="2"/>
  <c r="AH435" i="2"/>
  <c r="AH434" i="2"/>
  <c r="AH433" i="2"/>
  <c r="AH432" i="2"/>
  <c r="AH431" i="2"/>
  <c r="AH430" i="2"/>
  <c r="AH429" i="2"/>
  <c r="AH428" i="2"/>
  <c r="AH427" i="2"/>
  <c r="AH426" i="2"/>
  <c r="AH417" i="2"/>
  <c r="AH416" i="2"/>
  <c r="AH415" i="2"/>
  <c r="AH414" i="2"/>
  <c r="AH413" i="2"/>
  <c r="AH412" i="2"/>
  <c r="AH399" i="2"/>
  <c r="AH398" i="2"/>
  <c r="AH397" i="2"/>
  <c r="AH396" i="2"/>
  <c r="AH395" i="2"/>
  <c r="AH394" i="2"/>
  <c r="AH393" i="2"/>
  <c r="AH392" i="2"/>
  <c r="AH391" i="2"/>
  <c r="AH390" i="2"/>
  <c r="AH389" i="2"/>
  <c r="AH388" i="2"/>
  <c r="AH387" i="2"/>
  <c r="AH386" i="2"/>
  <c r="AH385" i="2"/>
  <c r="AH384" i="2"/>
  <c r="AH383" i="2"/>
  <c r="AH382" i="2"/>
  <c r="AH381" i="2"/>
  <c r="AH380" i="2"/>
  <c r="AH379" i="2"/>
  <c r="AH378" i="2"/>
  <c r="AH377" i="2"/>
  <c r="AH376" i="2"/>
  <c r="AH375" i="2"/>
  <c r="AH374" i="2"/>
  <c r="AH373" i="2"/>
  <c r="AH372" i="2"/>
  <c r="AH371" i="2"/>
  <c r="AH370" i="2"/>
  <c r="AH369" i="2"/>
  <c r="AH368" i="2"/>
  <c r="AH367" i="2"/>
  <c r="AH366" i="2"/>
  <c r="AH365" i="2"/>
  <c r="AH364" i="2"/>
  <c r="AH363" i="2"/>
  <c r="AH362" i="2"/>
  <c r="AH361" i="2"/>
  <c r="AH360" i="2"/>
  <c r="AH359" i="2"/>
  <c r="AH358" i="2"/>
  <c r="AH357" i="2"/>
  <c r="AH356" i="2"/>
  <c r="AH355" i="2"/>
  <c r="AH354" i="2"/>
  <c r="AH353" i="2"/>
  <c r="AH352" i="2"/>
  <c r="AH351" i="2"/>
  <c r="AH350" i="2"/>
  <c r="AH349" i="2"/>
  <c r="AH348" i="2"/>
  <c r="AH347" i="2"/>
  <c r="AH346" i="2"/>
  <c r="AH345" i="2"/>
  <c r="AH344" i="2"/>
  <c r="AH343" i="2"/>
  <c r="AH342" i="2"/>
  <c r="AH341" i="2"/>
  <c r="AH340" i="2"/>
  <c r="AH339" i="2"/>
  <c r="AH338" i="2"/>
  <c r="AH337" i="2"/>
  <c r="AH336" i="2"/>
  <c r="AH335" i="2"/>
  <c r="AH334" i="2"/>
  <c r="AH333" i="2"/>
  <c r="AH332" i="2"/>
  <c r="AH331" i="2"/>
  <c r="AH330" i="2"/>
  <c r="AH329" i="2"/>
  <c r="AH328" i="2"/>
  <c r="AH327" i="2"/>
  <c r="AH326" i="2"/>
  <c r="AH325" i="2"/>
  <c r="AH324" i="2"/>
  <c r="AH323" i="2"/>
  <c r="AH322" i="2"/>
  <c r="AH321" i="2"/>
  <c r="AH320" i="2"/>
  <c r="AH319" i="2"/>
  <c r="AH318" i="2"/>
  <c r="AH317" i="2"/>
  <c r="AH316" i="2"/>
  <c r="AH315" i="2"/>
  <c r="AH314" i="2"/>
  <c r="AH313" i="2"/>
  <c r="AH312" i="2"/>
  <c r="AH311" i="2"/>
  <c r="AH310" i="2"/>
  <c r="AH309" i="2"/>
  <c r="AH308" i="2"/>
  <c r="AH307" i="2"/>
  <c r="AH306" i="2"/>
  <c r="AH305" i="2"/>
  <c r="AH304" i="2"/>
  <c r="AH303" i="2"/>
  <c r="AH302" i="2"/>
  <c r="AH301" i="2"/>
  <c r="AH300" i="2"/>
  <c r="AH299" i="2"/>
  <c r="AH291" i="2"/>
  <c r="AH290" i="2"/>
  <c r="AH289" i="2"/>
  <c r="AH288" i="2"/>
  <c r="AH287" i="2"/>
  <c r="AH286" i="2"/>
  <c r="AH285" i="2"/>
  <c r="AH284" i="2"/>
  <c r="AH283" i="2"/>
  <c r="AH282" i="2"/>
  <c r="AH281" i="2"/>
  <c r="AH273" i="2"/>
  <c r="AH272" i="2"/>
  <c r="AH271" i="2"/>
  <c r="AH270" i="2"/>
  <c r="AH269" i="2"/>
  <c r="AH268" i="2"/>
  <c r="AH267" i="2"/>
  <c r="AH266" i="2"/>
  <c r="AH255" i="2"/>
  <c r="AH254" i="2"/>
  <c r="AH253" i="2"/>
  <c r="AH252" i="2"/>
  <c r="AH251" i="2"/>
  <c r="AH250" i="2"/>
  <c r="AH249" i="2"/>
  <c r="AH248" i="2"/>
  <c r="AH247" i="2"/>
  <c r="AH246" i="2"/>
  <c r="AH245" i="2"/>
  <c r="AH237" i="2"/>
  <c r="AH236" i="2"/>
  <c r="AH235" i="2"/>
  <c r="AH234" i="2"/>
  <c r="AH233" i="2"/>
  <c r="AH232" i="2"/>
  <c r="AH231" i="2"/>
  <c r="AH230" i="2"/>
  <c r="AH229" i="2"/>
  <c r="AH228" i="2"/>
  <c r="AH227" i="2"/>
  <c r="AH219" i="2"/>
  <c r="AH218" i="2"/>
  <c r="AH217" i="2"/>
  <c r="AH216" i="2"/>
  <c r="AH215" i="2"/>
  <c r="AH214" i="2"/>
  <c r="AH213" i="2"/>
  <c r="AH212" i="2"/>
  <c r="AH211" i="2"/>
  <c r="AH210" i="2"/>
  <c r="AH209" i="2"/>
  <c r="AH201" i="2"/>
  <c r="AH200" i="2"/>
  <c r="AH199" i="2"/>
  <c r="AH198" i="2"/>
  <c r="AH197" i="2"/>
  <c r="AH196" i="2"/>
  <c r="AH195" i="2"/>
  <c r="AH194" i="2"/>
  <c r="AH183" i="2"/>
  <c r="AH182" i="2"/>
  <c r="AH181" i="2"/>
  <c r="AH180" i="2"/>
  <c r="AH179" i="2"/>
  <c r="AH178" i="2"/>
  <c r="AH177" i="2"/>
  <c r="AH176" i="2"/>
  <c r="AH175" i="2"/>
  <c r="AH174" i="2"/>
  <c r="AH173" i="2"/>
  <c r="AH165" i="2"/>
  <c r="AH164" i="2"/>
  <c r="AH163" i="2"/>
  <c r="AH162" i="2"/>
  <c r="AH161" i="2"/>
  <c r="AH160" i="2"/>
  <c r="AH159" i="2"/>
  <c r="AH158" i="2"/>
  <c r="AH157" i="2"/>
  <c r="AH156" i="2"/>
  <c r="AH155" i="2"/>
  <c r="AH147" i="2"/>
  <c r="AH146" i="2"/>
  <c r="AH145" i="2"/>
  <c r="AH144" i="2"/>
  <c r="AH143" i="2"/>
  <c r="AH142" i="2"/>
  <c r="AH141" i="2"/>
  <c r="AH140" i="2"/>
  <c r="AH129" i="2"/>
  <c r="AH128" i="2"/>
  <c r="AH127" i="2"/>
  <c r="AH126" i="2"/>
  <c r="AH125" i="2"/>
  <c r="AH124" i="2"/>
  <c r="AH123" i="2"/>
  <c r="AH122" i="2"/>
  <c r="AH111" i="2"/>
  <c r="AH110" i="2"/>
  <c r="AH109" i="2"/>
  <c r="AH108" i="2"/>
  <c r="AH107" i="2"/>
  <c r="AH93" i="2"/>
  <c r="AH92" i="2"/>
  <c r="AH91" i="2"/>
  <c r="AH90" i="2"/>
  <c r="AH89" i="2"/>
  <c r="AH88" i="2"/>
  <c r="AH87" i="2"/>
  <c r="AH86" i="2"/>
  <c r="AH85" i="2"/>
  <c r="AH84" i="2"/>
  <c r="AH83" i="2"/>
  <c r="AH75" i="2"/>
  <c r="AH74" i="2"/>
  <c r="AH73" i="2"/>
  <c r="AH72" i="2"/>
  <c r="AH71" i="2"/>
  <c r="AH57" i="2"/>
  <c r="AH56" i="2"/>
  <c r="AH55" i="2"/>
  <c r="AH54" i="2"/>
  <c r="AH53" i="2"/>
  <c r="AH52" i="2"/>
  <c r="AH39" i="2"/>
  <c r="AH38" i="2"/>
  <c r="AH37" i="2"/>
  <c r="AH36" i="2"/>
  <c r="AH35" i="2"/>
  <c r="AH34" i="2"/>
  <c r="AH21" i="2"/>
  <c r="AH20" i="2"/>
  <c r="AH19" i="2"/>
  <c r="AH18" i="2"/>
  <c r="AH17" i="2"/>
  <c r="AG543" i="2"/>
  <c r="AG542" i="2"/>
  <c r="AG541" i="2"/>
  <c r="AG540" i="2"/>
  <c r="AG539" i="2"/>
  <c r="AG538" i="2"/>
  <c r="AG537" i="2"/>
  <c r="AG536" i="2"/>
  <c r="AG535" i="2"/>
  <c r="AG534" i="2"/>
  <c r="AG533" i="2"/>
  <c r="AG532" i="2"/>
  <c r="AG531" i="2"/>
  <c r="AG530" i="2"/>
  <c r="AG529" i="2"/>
  <c r="AG528" i="2"/>
  <c r="AG527" i="2"/>
  <c r="AG526" i="2"/>
  <c r="AG525" i="2"/>
  <c r="AG524" i="2"/>
  <c r="AG523" i="2"/>
  <c r="AG522" i="2"/>
  <c r="AG521" i="2"/>
  <c r="AG520" i="2"/>
  <c r="AG519" i="2"/>
  <c r="AG518" i="2"/>
  <c r="AG517" i="2"/>
  <c r="AG516" i="2"/>
  <c r="AG515" i="2"/>
  <c r="AG514" i="2"/>
  <c r="AG513" i="2"/>
  <c r="AG512" i="2"/>
  <c r="AG511" i="2"/>
  <c r="AG510" i="2"/>
  <c r="AG509" i="2"/>
  <c r="AG508" i="2"/>
  <c r="AG507" i="2"/>
  <c r="AG506" i="2"/>
  <c r="AG505" i="2"/>
  <c r="AG504" i="2"/>
  <c r="AG503" i="2"/>
  <c r="AG502" i="2"/>
  <c r="AG501" i="2"/>
  <c r="AG500" i="2"/>
  <c r="AG499" i="2"/>
  <c r="AG498" i="2"/>
  <c r="AG497" i="2"/>
  <c r="AG496" i="2"/>
  <c r="AG495" i="2"/>
  <c r="AG494" i="2"/>
  <c r="AG493" i="2"/>
  <c r="AG492" i="2"/>
  <c r="AG491" i="2"/>
  <c r="AG490" i="2"/>
  <c r="AG489" i="2"/>
  <c r="AG488" i="2"/>
  <c r="AG487" i="2"/>
  <c r="AG486" i="2"/>
  <c r="AG485" i="2"/>
  <c r="AG484" i="2"/>
  <c r="AG483" i="2"/>
  <c r="AG482" i="2"/>
  <c r="AG481" i="2"/>
  <c r="AG480" i="2"/>
  <c r="AG479" i="2"/>
  <c r="AG478" i="2"/>
  <c r="AG477" i="2"/>
  <c r="AG476" i="2"/>
  <c r="AG475" i="2"/>
  <c r="AG474" i="2"/>
  <c r="AG473" i="2"/>
  <c r="AG472" i="2"/>
  <c r="AG471" i="2"/>
  <c r="AG470" i="2"/>
  <c r="AG469" i="2"/>
  <c r="AG468" i="2"/>
  <c r="AG467" i="2"/>
  <c r="AG466" i="2"/>
  <c r="AG465" i="2"/>
  <c r="AG464" i="2"/>
  <c r="AG463" i="2"/>
  <c r="AG462" i="2"/>
  <c r="AG461" i="2"/>
  <c r="AG460" i="2"/>
  <c r="AG459" i="2"/>
  <c r="AG458" i="2"/>
  <c r="AG457" i="2"/>
  <c r="AG456" i="2"/>
  <c r="AG455" i="2"/>
  <c r="AG454" i="2"/>
  <c r="AG453" i="2"/>
  <c r="AG452" i="2"/>
  <c r="AG451" i="2"/>
  <c r="AG450" i="2"/>
  <c r="AG449" i="2"/>
  <c r="AG448" i="2"/>
  <c r="AG447" i="2"/>
  <c r="AG446" i="2"/>
  <c r="AG445" i="2"/>
  <c r="AG444" i="2"/>
  <c r="AG443" i="2"/>
  <c r="AG442" i="2"/>
  <c r="AG441" i="2"/>
  <c r="AG440" i="2"/>
  <c r="AG439" i="2"/>
  <c r="AG438" i="2"/>
  <c r="AG437" i="2"/>
  <c r="AG436" i="2"/>
  <c r="AG435" i="2"/>
  <c r="AG434" i="2"/>
  <c r="AG433" i="2"/>
  <c r="AG432" i="2"/>
  <c r="AG431" i="2"/>
  <c r="AG430" i="2"/>
  <c r="AG429" i="2"/>
  <c r="AG428" i="2"/>
  <c r="AG427" i="2"/>
  <c r="AG426" i="2"/>
  <c r="AG417" i="2"/>
  <c r="AG416" i="2"/>
  <c r="AG415" i="2"/>
  <c r="AG414" i="2"/>
  <c r="AG413" i="2"/>
  <c r="AG412" i="2"/>
  <c r="AG399" i="2"/>
  <c r="AG398" i="2"/>
  <c r="AG397" i="2"/>
  <c r="AG396" i="2"/>
  <c r="AG395" i="2"/>
  <c r="AG394" i="2"/>
  <c r="AG393" i="2"/>
  <c r="AG392" i="2"/>
  <c r="AG391" i="2"/>
  <c r="AG390" i="2"/>
  <c r="AG389" i="2"/>
  <c r="AG388" i="2"/>
  <c r="AG381" i="2"/>
  <c r="AG380" i="2"/>
  <c r="AG379" i="2"/>
  <c r="AG378" i="2"/>
  <c r="AG377" i="2"/>
  <c r="AG376" i="2"/>
  <c r="AG375" i="2"/>
  <c r="AG374" i="2"/>
  <c r="AG373" i="2"/>
  <c r="AG372" i="2"/>
  <c r="AG371" i="2"/>
  <c r="AG370" i="2"/>
  <c r="AG367" i="2"/>
  <c r="AG366" i="2"/>
  <c r="AG365" i="2"/>
  <c r="AG364" i="2"/>
  <c r="AG363" i="2"/>
  <c r="AG362" i="2"/>
  <c r="AG361" i="2"/>
  <c r="AG360" i="2"/>
  <c r="AG359" i="2"/>
  <c r="AG358" i="2"/>
  <c r="AG357" i="2"/>
  <c r="AG356" i="2"/>
  <c r="AG355" i="2"/>
  <c r="AG354" i="2"/>
  <c r="AG353" i="2"/>
  <c r="AG352" i="2"/>
  <c r="AG346" i="2"/>
  <c r="AG345" i="2"/>
  <c r="AG344" i="2"/>
  <c r="AG343" i="2"/>
  <c r="AG342" i="2"/>
  <c r="AG341" i="2"/>
  <c r="AG340" i="2"/>
  <c r="AG339" i="2"/>
  <c r="AG338" i="2"/>
  <c r="AG337" i="2"/>
  <c r="AG336" i="2"/>
  <c r="AG335" i="2"/>
  <c r="AG334" i="2"/>
  <c r="AG328" i="2"/>
  <c r="AG327" i="2"/>
  <c r="AG326" i="2"/>
  <c r="AG325" i="2"/>
  <c r="AG324" i="2"/>
  <c r="AG323" i="2"/>
  <c r="AG322" i="2"/>
  <c r="AG321" i="2"/>
  <c r="AG320" i="2"/>
  <c r="AG319" i="2"/>
  <c r="AG318" i="2"/>
  <c r="AG317" i="2"/>
  <c r="AG316" i="2"/>
  <c r="AG309" i="2"/>
  <c r="AG308" i="2"/>
  <c r="AG307" i="2"/>
  <c r="AG306" i="2"/>
  <c r="AG305" i="2"/>
  <c r="AG304" i="2"/>
  <c r="AG303" i="2"/>
  <c r="AG302" i="2"/>
  <c r="AG301" i="2"/>
  <c r="AG300" i="2"/>
  <c r="AG299" i="2"/>
  <c r="AG291" i="2"/>
  <c r="AG290" i="2"/>
  <c r="AG289" i="2"/>
  <c r="AG288" i="2"/>
  <c r="AG287" i="2"/>
  <c r="AG286" i="2"/>
  <c r="AG285" i="2"/>
  <c r="AG284" i="2"/>
  <c r="AG283" i="2"/>
  <c r="AG282" i="2"/>
  <c r="AG281" i="2"/>
  <c r="AG273" i="2"/>
  <c r="AG272" i="2"/>
  <c r="AG271" i="2"/>
  <c r="AG270" i="2"/>
  <c r="AG269" i="2"/>
  <c r="AG268" i="2"/>
  <c r="AG267" i="2"/>
  <c r="AG266" i="2"/>
  <c r="AG255" i="2"/>
  <c r="AG254" i="2"/>
  <c r="AG253" i="2"/>
  <c r="AG252" i="2"/>
  <c r="AG251" i="2"/>
  <c r="AG250" i="2"/>
  <c r="AG249" i="2"/>
  <c r="AG248" i="2"/>
  <c r="AG247" i="2"/>
  <c r="AG246" i="2"/>
  <c r="AG245" i="2"/>
  <c r="AG237" i="2"/>
  <c r="AG236" i="2"/>
  <c r="AG235" i="2"/>
  <c r="AG234" i="2"/>
  <c r="AG233" i="2"/>
  <c r="AG232" i="2"/>
  <c r="AG231" i="2"/>
  <c r="AG230" i="2"/>
  <c r="AG229" i="2"/>
  <c r="AG228" i="2"/>
  <c r="AG227" i="2"/>
  <c r="AG219" i="2"/>
  <c r="AG218" i="2"/>
  <c r="AG217" i="2"/>
  <c r="AG216" i="2"/>
  <c r="AG215" i="2"/>
  <c r="AG214" i="2"/>
  <c r="AG213" i="2"/>
  <c r="AG212" i="2"/>
  <c r="AG211" i="2"/>
  <c r="AG210" i="2"/>
  <c r="AG209" i="2"/>
  <c r="AG201" i="2"/>
  <c r="AG200" i="2"/>
  <c r="AG199" i="2"/>
  <c r="AG198" i="2"/>
  <c r="AG197" i="2"/>
  <c r="AG196" i="2"/>
  <c r="AG195" i="2"/>
  <c r="AG194" i="2"/>
  <c r="AG183" i="2"/>
  <c r="AG182" i="2"/>
  <c r="AG181" i="2"/>
  <c r="AG180" i="2"/>
  <c r="AG179" i="2"/>
  <c r="AG178" i="2"/>
  <c r="AG177" i="2"/>
  <c r="AG176" i="2"/>
  <c r="AG175" i="2"/>
  <c r="AG174" i="2"/>
  <c r="AG173" i="2"/>
  <c r="AG165" i="2"/>
  <c r="AG164" i="2"/>
  <c r="AG163" i="2"/>
  <c r="AG162" i="2"/>
  <c r="AG161" i="2"/>
  <c r="AG160" i="2"/>
  <c r="AG159" i="2"/>
  <c r="AG158" i="2"/>
  <c r="AG157" i="2"/>
  <c r="AG156" i="2"/>
  <c r="AG155" i="2"/>
  <c r="AG147" i="2"/>
  <c r="AG146" i="2"/>
  <c r="AG145" i="2"/>
  <c r="AG144" i="2"/>
  <c r="AG143" i="2"/>
  <c r="AG142" i="2"/>
  <c r="AG141" i="2"/>
  <c r="AG140" i="2"/>
  <c r="AG129" i="2"/>
  <c r="AG128" i="2"/>
  <c r="AG127" i="2"/>
  <c r="AG126" i="2"/>
  <c r="AG125" i="2"/>
  <c r="AG124" i="2"/>
  <c r="AG123" i="2"/>
  <c r="AG122" i="2"/>
  <c r="AG111" i="2"/>
  <c r="AG110" i="2"/>
  <c r="AG109" i="2"/>
  <c r="AG108" i="2"/>
  <c r="AG107" i="2"/>
  <c r="AG93" i="2"/>
  <c r="AG92" i="2"/>
  <c r="AG91" i="2"/>
  <c r="AG90" i="2"/>
  <c r="AG89" i="2"/>
  <c r="AG88" i="2"/>
  <c r="AG87" i="2"/>
  <c r="AG86" i="2"/>
  <c r="AG85" i="2"/>
  <c r="AG84" i="2"/>
  <c r="AG83" i="2"/>
  <c r="AG75" i="2"/>
  <c r="AG74" i="2"/>
  <c r="AG73" i="2"/>
  <c r="AG72" i="2"/>
  <c r="AG71" i="2"/>
  <c r="AG57" i="2"/>
  <c r="AG56" i="2"/>
  <c r="AG55" i="2"/>
  <c r="AG54" i="2"/>
  <c r="AG53" i="2"/>
  <c r="AG52" i="2"/>
  <c r="AG39" i="2"/>
  <c r="AG38" i="2"/>
  <c r="AG37" i="2"/>
  <c r="AG36" i="2"/>
  <c r="AG35" i="2"/>
  <c r="AG21" i="2"/>
  <c r="AG20" i="2"/>
  <c r="AG19" i="2"/>
  <c r="AG18" i="2"/>
  <c r="AG17" i="2"/>
  <c r="AF543" i="2"/>
  <c r="AF542" i="2"/>
  <c r="AF541" i="2"/>
  <c r="AF540" i="2"/>
  <c r="AF539" i="2"/>
  <c r="AF538" i="2"/>
  <c r="AF537" i="2"/>
  <c r="AF536" i="2"/>
  <c r="AF535" i="2"/>
  <c r="AF534" i="2"/>
  <c r="AF533" i="2"/>
  <c r="AF532" i="2"/>
  <c r="AF531" i="2"/>
  <c r="AF530" i="2"/>
  <c r="AF529" i="2"/>
  <c r="AF528" i="2"/>
  <c r="AF527" i="2"/>
  <c r="AF526" i="2"/>
  <c r="AF525" i="2"/>
  <c r="AF524" i="2"/>
  <c r="AF523" i="2"/>
  <c r="AF522" i="2"/>
  <c r="AF521" i="2"/>
  <c r="AF520" i="2"/>
  <c r="AF519" i="2"/>
  <c r="AF518" i="2"/>
  <c r="AF517" i="2"/>
  <c r="AF516" i="2"/>
  <c r="AF515" i="2"/>
  <c r="AF514" i="2"/>
  <c r="AF513" i="2"/>
  <c r="AF512" i="2"/>
  <c r="AF511" i="2"/>
  <c r="AF510" i="2"/>
  <c r="AF509" i="2"/>
  <c r="AF508" i="2"/>
  <c r="AF507" i="2"/>
  <c r="AF506" i="2"/>
  <c r="AF505" i="2"/>
  <c r="AF504" i="2"/>
  <c r="AF503" i="2"/>
  <c r="AF502" i="2"/>
  <c r="AF501" i="2"/>
  <c r="AF500" i="2"/>
  <c r="AF499" i="2"/>
  <c r="AF498" i="2"/>
  <c r="AF497" i="2"/>
  <c r="AF496" i="2"/>
  <c r="AF495" i="2"/>
  <c r="AF494" i="2"/>
  <c r="AF493" i="2"/>
  <c r="AF492" i="2"/>
  <c r="AF491" i="2"/>
  <c r="AF490" i="2"/>
  <c r="AF489" i="2"/>
  <c r="AF488" i="2"/>
  <c r="AF487" i="2"/>
  <c r="AF486" i="2"/>
  <c r="AF485" i="2"/>
  <c r="AF484" i="2"/>
  <c r="AF483" i="2"/>
  <c r="AF482" i="2"/>
  <c r="AF481" i="2"/>
  <c r="AF480" i="2"/>
  <c r="AF479" i="2"/>
  <c r="AF478" i="2"/>
  <c r="AF477" i="2"/>
  <c r="AF476" i="2"/>
  <c r="AF475" i="2"/>
  <c r="AF474" i="2"/>
  <c r="AF473" i="2"/>
  <c r="AF472" i="2"/>
  <c r="AF471" i="2"/>
  <c r="AF470" i="2"/>
  <c r="AF469" i="2"/>
  <c r="AF468" i="2"/>
  <c r="AF467" i="2"/>
  <c r="AF466" i="2"/>
  <c r="AF465" i="2"/>
  <c r="AF464" i="2"/>
  <c r="AF463" i="2"/>
  <c r="AF462" i="2"/>
  <c r="AF461" i="2"/>
  <c r="AF460" i="2"/>
  <c r="AF459" i="2"/>
  <c r="AF458" i="2"/>
  <c r="AF457" i="2"/>
  <c r="AF456" i="2"/>
  <c r="AF455" i="2"/>
  <c r="AF454" i="2"/>
  <c r="AF453" i="2"/>
  <c r="AF452" i="2"/>
  <c r="AF451" i="2"/>
  <c r="AF450" i="2"/>
  <c r="AF449" i="2"/>
  <c r="AF448" i="2"/>
  <c r="AF447" i="2"/>
  <c r="AF446" i="2"/>
  <c r="AF445" i="2"/>
  <c r="AF444" i="2"/>
  <c r="AF443" i="2"/>
  <c r="AF442" i="2"/>
  <c r="AF441" i="2"/>
  <c r="AF440" i="2"/>
  <c r="AF439" i="2"/>
  <c r="AF438" i="2"/>
  <c r="AF437" i="2"/>
  <c r="AF436" i="2"/>
  <c r="AF435" i="2"/>
  <c r="AF434" i="2"/>
  <c r="AF433" i="2"/>
  <c r="AF432" i="2"/>
  <c r="AF431" i="2"/>
  <c r="AF430" i="2"/>
  <c r="AF429" i="2"/>
  <c r="AF428" i="2"/>
  <c r="AF427" i="2"/>
  <c r="AF426" i="2"/>
  <c r="AF417" i="2"/>
  <c r="AF416" i="2"/>
  <c r="AF415" i="2"/>
  <c r="AF414" i="2"/>
  <c r="AF413" i="2"/>
  <c r="AF412" i="2"/>
  <c r="AF399" i="2"/>
  <c r="AF398" i="2"/>
  <c r="AF397" i="2"/>
  <c r="AF396" i="2"/>
  <c r="AF395" i="2"/>
  <c r="AF394" i="2"/>
  <c r="AF393" i="2"/>
  <c r="AF392" i="2"/>
  <c r="AF391" i="2"/>
  <c r="AF390" i="2"/>
  <c r="AF389" i="2"/>
  <c r="AF388" i="2"/>
  <c r="AF387" i="2"/>
  <c r="AG387" i="2" s="1"/>
  <c r="AF386" i="2"/>
  <c r="AG386" i="2" s="1"/>
  <c r="AF385" i="2"/>
  <c r="AG385" i="2" s="1"/>
  <c r="AF384" i="2"/>
  <c r="AG384" i="2" s="1"/>
  <c r="AF383" i="2"/>
  <c r="AG383" i="2" s="1"/>
  <c r="AF382" i="2"/>
  <c r="AG382" i="2" s="1"/>
  <c r="AF381" i="2"/>
  <c r="AF380" i="2"/>
  <c r="AF379" i="2"/>
  <c r="AF378" i="2"/>
  <c r="AF377" i="2"/>
  <c r="AF376" i="2"/>
  <c r="AF375" i="2"/>
  <c r="AF374" i="2"/>
  <c r="AF373" i="2"/>
  <c r="AF372" i="2"/>
  <c r="AF371" i="2"/>
  <c r="AF370" i="2"/>
  <c r="AF369" i="2"/>
  <c r="AG369" i="2" s="1"/>
  <c r="AF368" i="2"/>
  <c r="AG368" i="2" s="1"/>
  <c r="AF367" i="2"/>
  <c r="AF366" i="2"/>
  <c r="AF365" i="2"/>
  <c r="AF364" i="2"/>
  <c r="AF363" i="2"/>
  <c r="AF362" i="2"/>
  <c r="AF361" i="2"/>
  <c r="AF360" i="2"/>
  <c r="AF359" i="2"/>
  <c r="AF358" i="2"/>
  <c r="AF357" i="2"/>
  <c r="AF356" i="2"/>
  <c r="AF355" i="2"/>
  <c r="AF354" i="2"/>
  <c r="AF353" i="2"/>
  <c r="AF352" i="2"/>
  <c r="AF351" i="2"/>
  <c r="AG351" i="2" s="1"/>
  <c r="AF350" i="2"/>
  <c r="AG350" i="2" s="1"/>
  <c r="AF349" i="2"/>
  <c r="AG349" i="2" s="1"/>
  <c r="AF348" i="2"/>
  <c r="AG348" i="2" s="1"/>
  <c r="AF347" i="2"/>
  <c r="AG347" i="2" s="1"/>
  <c r="AF346" i="2"/>
  <c r="AF345" i="2"/>
  <c r="AF344" i="2"/>
  <c r="AF343" i="2"/>
  <c r="AF342" i="2"/>
  <c r="AF341" i="2"/>
  <c r="AF340" i="2"/>
  <c r="AF339" i="2"/>
  <c r="AF338" i="2"/>
  <c r="AF337" i="2"/>
  <c r="AF336" i="2"/>
  <c r="AF335" i="2"/>
  <c r="AF334" i="2"/>
  <c r="AF333" i="2"/>
  <c r="AG333" i="2" s="1"/>
  <c r="AF332" i="2"/>
  <c r="AG332" i="2" s="1"/>
  <c r="AF331" i="2"/>
  <c r="AG331" i="2" s="1"/>
  <c r="AF330" i="2"/>
  <c r="AG330" i="2" s="1"/>
  <c r="AF329" i="2"/>
  <c r="AG329" i="2" s="1"/>
  <c r="AF328" i="2"/>
  <c r="AF327" i="2"/>
  <c r="AF326" i="2"/>
  <c r="AF325" i="2"/>
  <c r="AF324" i="2"/>
  <c r="AF323" i="2"/>
  <c r="AF322" i="2"/>
  <c r="AF321" i="2"/>
  <c r="AF320" i="2"/>
  <c r="AF319" i="2"/>
  <c r="AF318" i="2"/>
  <c r="AF317" i="2"/>
  <c r="AF316" i="2"/>
  <c r="AF315" i="2"/>
  <c r="AG315" i="2" s="1"/>
  <c r="AF314" i="2"/>
  <c r="AG314" i="2" s="1"/>
  <c r="AF313" i="2"/>
  <c r="AG313" i="2" s="1"/>
  <c r="AF312" i="2"/>
  <c r="AG312" i="2" s="1"/>
  <c r="AF311" i="2"/>
  <c r="AG311" i="2" s="1"/>
  <c r="AF310" i="2"/>
  <c r="AG310" i="2" s="1"/>
  <c r="AF309" i="2"/>
  <c r="AF308" i="2"/>
  <c r="AF307" i="2"/>
  <c r="AF306" i="2"/>
  <c r="AF305" i="2"/>
  <c r="AF304" i="2"/>
  <c r="AF303" i="2"/>
  <c r="AF302" i="2"/>
  <c r="AF301" i="2"/>
  <c r="AF300" i="2"/>
  <c r="AF299" i="2"/>
  <c r="AF291" i="2"/>
  <c r="AF290" i="2"/>
  <c r="AF289" i="2"/>
  <c r="AF288" i="2"/>
  <c r="AF287" i="2"/>
  <c r="AF286" i="2"/>
  <c r="AF285" i="2"/>
  <c r="AF284" i="2"/>
  <c r="AF283" i="2"/>
  <c r="AF282" i="2"/>
  <c r="AF281" i="2"/>
  <c r="AF273" i="2"/>
  <c r="AF272" i="2"/>
  <c r="AF271" i="2"/>
  <c r="AF270" i="2"/>
  <c r="AF269" i="2"/>
  <c r="AF268" i="2"/>
  <c r="AF267" i="2"/>
  <c r="AF266" i="2"/>
  <c r="AF255" i="2"/>
  <c r="AF254" i="2"/>
  <c r="AF253" i="2"/>
  <c r="AF252" i="2"/>
  <c r="AF251" i="2"/>
  <c r="AF250" i="2"/>
  <c r="AF249" i="2"/>
  <c r="AF248" i="2"/>
  <c r="AF247" i="2"/>
  <c r="AF246" i="2"/>
  <c r="AF245" i="2"/>
  <c r="AF237" i="2"/>
  <c r="AF236" i="2"/>
  <c r="AF235" i="2"/>
  <c r="AF234" i="2"/>
  <c r="AF233" i="2"/>
  <c r="AF232" i="2"/>
  <c r="AF231" i="2"/>
  <c r="AF230" i="2"/>
  <c r="AF229" i="2"/>
  <c r="AF228" i="2"/>
  <c r="AF227" i="2"/>
  <c r="AF219" i="2"/>
  <c r="AF218" i="2"/>
  <c r="AF217" i="2"/>
  <c r="AF216" i="2"/>
  <c r="AF215" i="2"/>
  <c r="AF214" i="2"/>
  <c r="AF213" i="2"/>
  <c r="AF212" i="2"/>
  <c r="AF211" i="2"/>
  <c r="AF210" i="2"/>
  <c r="AF209" i="2"/>
  <c r="AF201" i="2"/>
  <c r="AF200" i="2"/>
  <c r="AF199" i="2"/>
  <c r="AF198" i="2"/>
  <c r="AF197" i="2"/>
  <c r="AF196" i="2"/>
  <c r="AF195" i="2"/>
  <c r="AF194" i="2"/>
  <c r="AF183" i="2"/>
  <c r="AF182" i="2"/>
  <c r="AF181" i="2"/>
  <c r="AF180" i="2"/>
  <c r="AF179" i="2"/>
  <c r="AF178" i="2"/>
  <c r="AF177" i="2"/>
  <c r="AF176" i="2"/>
  <c r="AF175" i="2"/>
  <c r="AF174" i="2"/>
  <c r="AF173" i="2"/>
  <c r="AF165" i="2"/>
  <c r="AF164" i="2"/>
  <c r="AF163" i="2"/>
  <c r="AF162" i="2"/>
  <c r="AF161" i="2"/>
  <c r="AF160" i="2"/>
  <c r="AF159" i="2"/>
  <c r="AF158" i="2"/>
  <c r="AF157" i="2"/>
  <c r="AF156" i="2"/>
  <c r="AF155" i="2"/>
  <c r="AF147" i="2"/>
  <c r="AF146" i="2"/>
  <c r="AF145" i="2"/>
  <c r="AF144" i="2"/>
  <c r="AF143" i="2"/>
  <c r="AF142" i="2"/>
  <c r="AF141" i="2"/>
  <c r="AF140" i="2"/>
  <c r="AF129" i="2"/>
  <c r="AF128" i="2"/>
  <c r="AF127" i="2"/>
  <c r="AF126" i="2"/>
  <c r="AF125" i="2"/>
  <c r="AF124" i="2"/>
  <c r="AF123" i="2"/>
  <c r="AF122" i="2"/>
  <c r="AF111" i="2"/>
  <c r="AF110" i="2"/>
  <c r="AF109" i="2"/>
  <c r="AF108" i="2"/>
  <c r="AF107" i="2"/>
  <c r="AF93" i="2"/>
  <c r="AF92" i="2"/>
  <c r="AF91" i="2"/>
  <c r="AF90" i="2"/>
  <c r="AF89" i="2"/>
  <c r="AF88" i="2"/>
  <c r="AF87" i="2"/>
  <c r="AF86" i="2"/>
  <c r="AF85" i="2"/>
  <c r="AF84" i="2"/>
  <c r="AF83" i="2"/>
  <c r="AF75" i="2"/>
  <c r="AF74" i="2"/>
  <c r="AF73" i="2"/>
  <c r="AF72" i="2"/>
  <c r="AF71" i="2"/>
  <c r="AF57" i="2"/>
  <c r="AF56" i="2"/>
  <c r="AF55" i="2"/>
  <c r="AF54" i="2"/>
  <c r="AF53" i="2"/>
  <c r="AF52" i="2"/>
  <c r="AF39" i="2"/>
  <c r="AF38" i="2"/>
  <c r="AF37" i="2"/>
  <c r="AF36" i="2"/>
  <c r="AF35" i="2"/>
  <c r="AF21" i="2"/>
  <c r="AF20" i="2"/>
  <c r="AF19" i="2"/>
  <c r="AF18" i="2"/>
  <c r="AF17" i="2"/>
  <c r="AA23" i="2"/>
  <c r="AA22" i="2"/>
  <c r="AA262" i="2"/>
  <c r="AA261" i="2"/>
  <c r="AA259" i="2"/>
  <c r="K526" i="2"/>
  <c r="E526" i="2" s="1"/>
  <c r="E527" i="2" s="1"/>
  <c r="E528" i="2" s="1"/>
  <c r="E529" i="2" s="1"/>
  <c r="E530" i="2" s="1"/>
  <c r="E531" i="2" s="1"/>
  <c r="E532" i="2" s="1"/>
  <c r="E533" i="2" s="1"/>
  <c r="E534" i="2" s="1"/>
  <c r="E535" i="2" s="1"/>
  <c r="E536" i="2" s="1"/>
  <c r="E537" i="2" s="1"/>
  <c r="E538" i="2" s="1"/>
  <c r="E539" i="2" s="1"/>
  <c r="E540" i="2" s="1"/>
  <c r="E541" i="2" s="1"/>
  <c r="E542" i="2" s="1"/>
  <c r="E543" i="2" s="1"/>
  <c r="K508" i="2"/>
  <c r="B508" i="2" s="1"/>
  <c r="K490" i="2"/>
  <c r="E490" i="2" s="1"/>
  <c r="E491" i="2" s="1"/>
  <c r="E492" i="2" s="1"/>
  <c r="E493" i="2" s="1"/>
  <c r="E494" i="2" s="1"/>
  <c r="E495" i="2" s="1"/>
  <c r="E496" i="2" s="1"/>
  <c r="E497" i="2" s="1"/>
  <c r="E498" i="2" s="1"/>
  <c r="E499" i="2" s="1"/>
  <c r="E500" i="2" s="1"/>
  <c r="E501" i="2" s="1"/>
  <c r="E502" i="2" s="1"/>
  <c r="E503" i="2" s="1"/>
  <c r="E504" i="2" s="1"/>
  <c r="E505" i="2" s="1"/>
  <c r="E506" i="2" s="1"/>
  <c r="E507" i="2" s="1"/>
  <c r="K472" i="2"/>
  <c r="E472" i="2" s="1"/>
  <c r="E473" i="2" s="1"/>
  <c r="E474" i="2" s="1"/>
  <c r="E475" i="2" s="1"/>
  <c r="E476" i="2" s="1"/>
  <c r="E477" i="2" s="1"/>
  <c r="E478" i="2" s="1"/>
  <c r="E479" i="2" s="1"/>
  <c r="E480" i="2" s="1"/>
  <c r="E481" i="2" s="1"/>
  <c r="E482" i="2" s="1"/>
  <c r="E483" i="2" s="1"/>
  <c r="E484" i="2" s="1"/>
  <c r="E485" i="2" s="1"/>
  <c r="E486" i="2" s="1"/>
  <c r="E487" i="2" s="1"/>
  <c r="E488" i="2" s="1"/>
  <c r="E489" i="2" s="1"/>
  <c r="K454" i="2"/>
  <c r="E454" i="2" s="1"/>
  <c r="E455" i="2" s="1"/>
  <c r="E456" i="2" s="1"/>
  <c r="E457" i="2" s="1"/>
  <c r="E458" i="2" s="1"/>
  <c r="E459" i="2" s="1"/>
  <c r="E460" i="2" s="1"/>
  <c r="E461" i="2" s="1"/>
  <c r="E462" i="2" s="1"/>
  <c r="E463" i="2" s="1"/>
  <c r="E464" i="2" s="1"/>
  <c r="E465" i="2" s="1"/>
  <c r="E466" i="2" s="1"/>
  <c r="E467" i="2" s="1"/>
  <c r="E468" i="2" s="1"/>
  <c r="E469" i="2" s="1"/>
  <c r="E470" i="2" s="1"/>
  <c r="E471" i="2" s="1"/>
  <c r="K436" i="2"/>
  <c r="E436" i="2" s="1"/>
  <c r="E437" i="2" s="1"/>
  <c r="E438" i="2" s="1"/>
  <c r="E439" i="2" s="1"/>
  <c r="E440" i="2" s="1"/>
  <c r="E441" i="2" s="1"/>
  <c r="E442" i="2" s="1"/>
  <c r="E443" i="2" s="1"/>
  <c r="E444" i="2" s="1"/>
  <c r="E445" i="2" s="1"/>
  <c r="E446" i="2" s="1"/>
  <c r="E447" i="2" s="1"/>
  <c r="E448" i="2" s="1"/>
  <c r="E449" i="2" s="1"/>
  <c r="E450" i="2" s="1"/>
  <c r="E451" i="2" s="1"/>
  <c r="E452" i="2" s="1"/>
  <c r="E453" i="2" s="1"/>
  <c r="K418" i="2"/>
  <c r="AH423" i="2" s="1"/>
  <c r="K400" i="2"/>
  <c r="AH404" i="2" s="1"/>
  <c r="K382" i="2"/>
  <c r="E382" i="2" s="1"/>
  <c r="E383" i="2" s="1"/>
  <c r="E384" i="2" s="1"/>
  <c r="E385" i="2" s="1"/>
  <c r="E386" i="2" s="1"/>
  <c r="E387" i="2" s="1"/>
  <c r="E388" i="2" s="1"/>
  <c r="E389" i="2" s="1"/>
  <c r="E390" i="2" s="1"/>
  <c r="E391" i="2" s="1"/>
  <c r="E392" i="2" s="1"/>
  <c r="E393" i="2" s="1"/>
  <c r="E394" i="2" s="1"/>
  <c r="E395" i="2" s="1"/>
  <c r="E396" i="2" s="1"/>
  <c r="E397" i="2" s="1"/>
  <c r="E398" i="2" s="1"/>
  <c r="E399" i="2" s="1"/>
  <c r="K364" i="2"/>
  <c r="E364" i="2" s="1"/>
  <c r="E365" i="2" s="1"/>
  <c r="E366" i="2" s="1"/>
  <c r="E367" i="2" s="1"/>
  <c r="E368" i="2" s="1"/>
  <c r="E369" i="2" s="1"/>
  <c r="E370" i="2" s="1"/>
  <c r="E371" i="2" s="1"/>
  <c r="E372" i="2" s="1"/>
  <c r="E373" i="2" s="1"/>
  <c r="E374" i="2" s="1"/>
  <c r="E375" i="2" s="1"/>
  <c r="E376" i="2" s="1"/>
  <c r="E377" i="2" s="1"/>
  <c r="E378" i="2" s="1"/>
  <c r="E379" i="2" s="1"/>
  <c r="E380" i="2" s="1"/>
  <c r="E381" i="2" s="1"/>
  <c r="K346" i="2"/>
  <c r="E346" i="2" s="1"/>
  <c r="E347" i="2" s="1"/>
  <c r="E348" i="2" s="1"/>
  <c r="E349" i="2" s="1"/>
  <c r="E350" i="2" s="1"/>
  <c r="E351" i="2" s="1"/>
  <c r="E352" i="2" s="1"/>
  <c r="E353" i="2" s="1"/>
  <c r="E354" i="2" s="1"/>
  <c r="E355" i="2" s="1"/>
  <c r="E356" i="2" s="1"/>
  <c r="E357" i="2" s="1"/>
  <c r="E358" i="2" s="1"/>
  <c r="E359" i="2" s="1"/>
  <c r="E360" i="2" s="1"/>
  <c r="E361" i="2" s="1"/>
  <c r="E362" i="2" s="1"/>
  <c r="E363" i="2" s="1"/>
  <c r="K328" i="2"/>
  <c r="E328" i="2" s="1"/>
  <c r="E329" i="2" s="1"/>
  <c r="E330" i="2" s="1"/>
  <c r="E331" i="2" s="1"/>
  <c r="E332" i="2" s="1"/>
  <c r="E333" i="2" s="1"/>
  <c r="E334" i="2" s="1"/>
  <c r="E335" i="2" s="1"/>
  <c r="E336" i="2" s="1"/>
  <c r="E337" i="2" s="1"/>
  <c r="E338" i="2" s="1"/>
  <c r="E339" i="2" s="1"/>
  <c r="E340" i="2" s="1"/>
  <c r="E341" i="2" s="1"/>
  <c r="E342" i="2" s="1"/>
  <c r="E343" i="2" s="1"/>
  <c r="E344" i="2" s="1"/>
  <c r="E345" i="2" s="1"/>
  <c r="K310" i="2"/>
  <c r="E310" i="2" s="1"/>
  <c r="E311" i="2" s="1"/>
  <c r="E312" i="2" s="1"/>
  <c r="E313" i="2" s="1"/>
  <c r="E314" i="2" s="1"/>
  <c r="E315" i="2" s="1"/>
  <c r="E316" i="2" s="1"/>
  <c r="E317" i="2" s="1"/>
  <c r="E318" i="2" s="1"/>
  <c r="E319" i="2" s="1"/>
  <c r="E320" i="2" s="1"/>
  <c r="E321" i="2" s="1"/>
  <c r="E322" i="2" s="1"/>
  <c r="E323" i="2" s="1"/>
  <c r="E324" i="2" s="1"/>
  <c r="E325" i="2" s="1"/>
  <c r="E326" i="2" s="1"/>
  <c r="E327" i="2" s="1"/>
  <c r="K292" i="2"/>
  <c r="AH292" i="2" s="1"/>
  <c r="K274" i="2"/>
  <c r="AH280" i="2" s="1"/>
  <c r="K256" i="2"/>
  <c r="AH256" i="2" s="1"/>
  <c r="K238" i="2"/>
  <c r="AH244" i="2" s="1"/>
  <c r="K220" i="2"/>
  <c r="AH220" i="2" s="1"/>
  <c r="K202" i="2"/>
  <c r="AH208" i="2" s="1"/>
  <c r="K184" i="2"/>
  <c r="AH184" i="2" s="1"/>
  <c r="K166" i="2"/>
  <c r="AH172" i="2" s="1"/>
  <c r="K148" i="2"/>
  <c r="B148" i="2" s="1"/>
  <c r="K130" i="2"/>
  <c r="AH136" i="2" s="1"/>
  <c r="K112" i="2"/>
  <c r="AH112" i="2" s="1"/>
  <c r="K94" i="2"/>
  <c r="AH100" i="2" s="1"/>
  <c r="K76" i="2"/>
  <c r="AH76" i="2" s="1"/>
  <c r="K58" i="2"/>
  <c r="S5" i="4" s="1"/>
  <c r="C31" i="9" s="1"/>
  <c r="K40" i="2"/>
  <c r="AH40" i="2" s="1"/>
  <c r="K22" i="2"/>
  <c r="AH28" i="2" s="1"/>
  <c r="K4" i="2"/>
  <c r="D4" i="2" s="1"/>
  <c r="AA21" i="2"/>
  <c r="G21" i="2"/>
  <c r="G20" i="2"/>
  <c r="G19" i="2"/>
  <c r="AA18" i="2"/>
  <c r="G18" i="2"/>
  <c r="AA17" i="2"/>
  <c r="G17" i="2"/>
  <c r="AA16" i="2"/>
  <c r="G16" i="2"/>
  <c r="AA15" i="2"/>
  <c r="G15" i="2"/>
  <c r="AA14" i="2"/>
  <c r="G14" i="2"/>
  <c r="AA39" i="2"/>
  <c r="G39" i="2"/>
  <c r="AA38" i="2"/>
  <c r="G38" i="2"/>
  <c r="AA37" i="2"/>
  <c r="G37" i="2"/>
  <c r="G36" i="2"/>
  <c r="AA35" i="2"/>
  <c r="G35" i="2"/>
  <c r="AA34" i="2"/>
  <c r="G34" i="2"/>
  <c r="G33" i="2"/>
  <c r="AA32" i="2"/>
  <c r="G32" i="2"/>
  <c r="G57" i="2"/>
  <c r="AA56" i="2"/>
  <c r="G56" i="2"/>
  <c r="AA55" i="2"/>
  <c r="G55" i="2"/>
  <c r="G54" i="2"/>
  <c r="G53" i="2"/>
  <c r="G52" i="2"/>
  <c r="AA51" i="2"/>
  <c r="G51" i="2"/>
  <c r="AA50" i="2"/>
  <c r="G50" i="2"/>
  <c r="AA75" i="2"/>
  <c r="G75" i="2"/>
  <c r="AA74" i="2"/>
  <c r="G74" i="2"/>
  <c r="G73" i="2"/>
  <c r="AA72" i="2"/>
  <c r="G72" i="2"/>
  <c r="AA71" i="2"/>
  <c r="G71" i="2"/>
  <c r="AA70" i="2"/>
  <c r="G70" i="2"/>
  <c r="AA69" i="2"/>
  <c r="G69" i="2"/>
  <c r="AA68" i="2"/>
  <c r="G68" i="2"/>
  <c r="AA93" i="2"/>
  <c r="G93" i="2"/>
  <c r="AA92" i="2"/>
  <c r="G92" i="2"/>
  <c r="AA91" i="2"/>
  <c r="G91" i="2"/>
  <c r="G90" i="2"/>
  <c r="G89" i="2"/>
  <c r="AA88" i="2"/>
  <c r="G88" i="2"/>
  <c r="AA87" i="2"/>
  <c r="G87" i="2"/>
  <c r="AA86" i="2"/>
  <c r="G86" i="2"/>
  <c r="AA111" i="2"/>
  <c r="G111" i="2"/>
  <c r="AA110" i="2"/>
  <c r="G110" i="2"/>
  <c r="AA109" i="2"/>
  <c r="G109" i="2"/>
  <c r="AA108" i="2"/>
  <c r="G108" i="2"/>
  <c r="AA107" i="2"/>
  <c r="G107" i="2"/>
  <c r="AA106" i="2"/>
  <c r="G106" i="2"/>
  <c r="G105" i="2"/>
  <c r="AA104" i="2"/>
  <c r="G104" i="2"/>
  <c r="G129" i="2"/>
  <c r="AA128" i="2"/>
  <c r="G128" i="2"/>
  <c r="AA127" i="2"/>
  <c r="G127" i="2"/>
  <c r="G126" i="2"/>
  <c r="G125" i="2"/>
  <c r="G124" i="2"/>
  <c r="AA123" i="2"/>
  <c r="G123" i="2"/>
  <c r="AA122" i="2"/>
  <c r="G122" i="2"/>
  <c r="AA147" i="2"/>
  <c r="G147" i="2"/>
  <c r="AA146" i="2"/>
  <c r="G146" i="2"/>
  <c r="AA145" i="2"/>
  <c r="G145" i="2"/>
  <c r="AA144" i="2"/>
  <c r="G144" i="2"/>
  <c r="AA143" i="2"/>
  <c r="G143" i="2"/>
  <c r="AA142" i="2"/>
  <c r="G142" i="2"/>
  <c r="AA141" i="2"/>
  <c r="G141" i="2"/>
  <c r="AA140" i="2"/>
  <c r="G140" i="2"/>
  <c r="AA165" i="2"/>
  <c r="G165" i="2"/>
  <c r="G164" i="2"/>
  <c r="G163" i="2"/>
  <c r="G162" i="2"/>
  <c r="G161" i="2"/>
  <c r="G160" i="2"/>
  <c r="AA159" i="2"/>
  <c r="G159" i="2"/>
  <c r="G158" i="2"/>
  <c r="AA183" i="2"/>
  <c r="G183" i="2"/>
  <c r="G182" i="2"/>
  <c r="AA181" i="2"/>
  <c r="G181" i="2"/>
  <c r="AA180" i="2"/>
  <c r="G180" i="2"/>
  <c r="AA179" i="2"/>
  <c r="G179" i="2"/>
  <c r="AA178" i="2"/>
  <c r="G178" i="2"/>
  <c r="G177" i="2"/>
  <c r="G176" i="2"/>
  <c r="G201" i="2"/>
  <c r="G200" i="2"/>
  <c r="G199" i="2"/>
  <c r="G198" i="2"/>
  <c r="G197" i="2"/>
  <c r="AA196" i="2"/>
  <c r="G196" i="2"/>
  <c r="AA195" i="2"/>
  <c r="G195" i="2"/>
  <c r="G194" i="2"/>
  <c r="AA219" i="2"/>
  <c r="G219" i="2"/>
  <c r="G218" i="2"/>
  <c r="G217" i="2"/>
  <c r="AA216" i="2"/>
  <c r="G216" i="2"/>
  <c r="AA215" i="2"/>
  <c r="G215" i="2"/>
  <c r="AA214" i="2"/>
  <c r="G214" i="2"/>
  <c r="AA213" i="2"/>
  <c r="G213" i="2"/>
  <c r="G212" i="2"/>
  <c r="AA237" i="2"/>
  <c r="G237" i="2"/>
  <c r="AA236" i="2"/>
  <c r="G236" i="2"/>
  <c r="G235" i="2"/>
  <c r="G234" i="2"/>
  <c r="G233" i="2"/>
  <c r="G232" i="2"/>
  <c r="AA231" i="2"/>
  <c r="G231" i="2"/>
  <c r="G230" i="2"/>
  <c r="AA255" i="2"/>
  <c r="G255" i="2"/>
  <c r="AA254" i="2"/>
  <c r="G254" i="2"/>
  <c r="AA253" i="2"/>
  <c r="G253" i="2"/>
  <c r="AA252" i="2"/>
  <c r="G252" i="2"/>
  <c r="AA251" i="2"/>
  <c r="G251" i="2"/>
  <c r="AA250" i="2"/>
  <c r="G250" i="2"/>
  <c r="G249" i="2"/>
  <c r="AA248" i="2"/>
  <c r="G248" i="2"/>
  <c r="G273" i="2"/>
  <c r="AA272" i="2"/>
  <c r="G272" i="2"/>
  <c r="G271" i="2"/>
  <c r="G270" i="2"/>
  <c r="AA269" i="2"/>
  <c r="G269" i="2"/>
  <c r="G268" i="2"/>
  <c r="AA267" i="2"/>
  <c r="G267" i="2"/>
  <c r="AA266" i="2"/>
  <c r="G266" i="2"/>
  <c r="AA291" i="2"/>
  <c r="G291" i="2"/>
  <c r="AA290" i="2"/>
  <c r="G290" i="2"/>
  <c r="G289" i="2"/>
  <c r="AA288" i="2"/>
  <c r="G288" i="2"/>
  <c r="AA287" i="2"/>
  <c r="G287" i="2"/>
  <c r="AA286" i="2"/>
  <c r="G286" i="2"/>
  <c r="AA285" i="2"/>
  <c r="G285" i="2"/>
  <c r="G284" i="2"/>
  <c r="AA309" i="2"/>
  <c r="G309" i="2"/>
  <c r="G308" i="2"/>
  <c r="AA307" i="2"/>
  <c r="G307" i="2"/>
  <c r="G306" i="2"/>
  <c r="G305" i="2"/>
  <c r="AA304" i="2"/>
  <c r="G304" i="2"/>
  <c r="AA303" i="2"/>
  <c r="G303" i="2"/>
  <c r="AA302" i="2"/>
  <c r="G302" i="2"/>
  <c r="AA327" i="2"/>
  <c r="G327" i="2"/>
  <c r="AA326" i="2"/>
  <c r="G326" i="2"/>
  <c r="AA325" i="2"/>
  <c r="G325" i="2"/>
  <c r="AA324" i="2"/>
  <c r="G324" i="2"/>
  <c r="AA323" i="2"/>
  <c r="G323" i="2"/>
  <c r="AA322" i="2"/>
  <c r="G322" i="2"/>
  <c r="G321" i="2"/>
  <c r="AA320" i="2"/>
  <c r="G320" i="2"/>
  <c r="G345" i="2"/>
  <c r="AA344" i="2"/>
  <c r="G344" i="2"/>
  <c r="G343" i="2"/>
  <c r="G342" i="2"/>
  <c r="G341" i="2"/>
  <c r="G340" i="2"/>
  <c r="AA339" i="2"/>
  <c r="G339" i="2"/>
  <c r="AA338" i="2"/>
  <c r="G338" i="2"/>
  <c r="AA363" i="2"/>
  <c r="G363" i="2"/>
  <c r="AA362" i="2"/>
  <c r="G362" i="2"/>
  <c r="G361" i="2"/>
  <c r="AA360" i="2"/>
  <c r="G360" i="2"/>
  <c r="AA359" i="2"/>
  <c r="G359" i="2"/>
  <c r="AA358" i="2"/>
  <c r="G358" i="2"/>
  <c r="AA357" i="2"/>
  <c r="G357" i="2"/>
  <c r="AA356" i="2"/>
  <c r="G356" i="2"/>
  <c r="AA381" i="2"/>
  <c r="G381" i="2"/>
  <c r="G380" i="2"/>
  <c r="G379" i="2"/>
  <c r="G378" i="2"/>
  <c r="G377" i="2"/>
  <c r="G376" i="2"/>
  <c r="AA375" i="2"/>
  <c r="G375" i="2"/>
  <c r="AA374" i="2"/>
  <c r="G374" i="2"/>
  <c r="AA399" i="2"/>
  <c r="G399" i="2"/>
  <c r="AA398" i="2"/>
  <c r="G398" i="2"/>
  <c r="AA397" i="2"/>
  <c r="G397" i="2"/>
  <c r="AA396" i="2"/>
  <c r="G396" i="2"/>
  <c r="AA395" i="2"/>
  <c r="G395" i="2"/>
  <c r="AA394" i="2"/>
  <c r="G394" i="2"/>
  <c r="G393" i="2"/>
  <c r="AA392" i="2"/>
  <c r="G392" i="2"/>
  <c r="G417" i="2"/>
  <c r="G416" i="2"/>
  <c r="G415" i="2"/>
  <c r="G414" i="2"/>
  <c r="G413" i="2"/>
  <c r="G412" i="2"/>
  <c r="G411" i="2"/>
  <c r="G410" i="2"/>
  <c r="AA435" i="2"/>
  <c r="G435" i="2"/>
  <c r="AA434" i="2"/>
  <c r="G434" i="2"/>
  <c r="AA433" i="2"/>
  <c r="G433" i="2"/>
  <c r="AA432" i="2"/>
  <c r="G432" i="2"/>
  <c r="AA431" i="2"/>
  <c r="G431" i="2"/>
  <c r="AA430" i="2"/>
  <c r="G430" i="2"/>
  <c r="AA429" i="2"/>
  <c r="G429" i="2"/>
  <c r="AA428" i="2"/>
  <c r="G428" i="2"/>
  <c r="G453" i="2"/>
  <c r="AA452" i="2"/>
  <c r="G452" i="2"/>
  <c r="AA451" i="2"/>
  <c r="G451" i="2"/>
  <c r="AA450" i="2"/>
  <c r="G450" i="2"/>
  <c r="G449" i="2"/>
  <c r="G448" i="2"/>
  <c r="G447" i="2"/>
  <c r="G446" i="2"/>
  <c r="G471" i="2"/>
  <c r="G470" i="2"/>
  <c r="G469" i="2"/>
  <c r="G468" i="2"/>
  <c r="G467" i="2"/>
  <c r="G466" i="2"/>
  <c r="G465" i="2"/>
  <c r="G464" i="2"/>
  <c r="G489" i="2"/>
  <c r="G488" i="2"/>
  <c r="G487" i="2"/>
  <c r="G486" i="2"/>
  <c r="G485" i="2"/>
  <c r="G484" i="2"/>
  <c r="AA483" i="2"/>
  <c r="G483" i="2"/>
  <c r="G482" i="2"/>
  <c r="G507" i="2"/>
  <c r="G506" i="2"/>
  <c r="G505" i="2"/>
  <c r="G504" i="2"/>
  <c r="G503" i="2"/>
  <c r="G502" i="2"/>
  <c r="G501" i="2"/>
  <c r="G500" i="2"/>
  <c r="AA525" i="2"/>
  <c r="G525" i="2"/>
  <c r="AA524" i="2"/>
  <c r="G524" i="2"/>
  <c r="G523" i="2"/>
  <c r="G522" i="2"/>
  <c r="G521" i="2"/>
  <c r="G520" i="2"/>
  <c r="G519" i="2"/>
  <c r="G518" i="2"/>
  <c r="AA543" i="2"/>
  <c r="G543" i="2"/>
  <c r="G542" i="2"/>
  <c r="G541" i="2"/>
  <c r="G540" i="2"/>
  <c r="G539" i="2"/>
  <c r="G538" i="2"/>
  <c r="G537" i="2"/>
  <c r="AA536" i="2"/>
  <c r="G536" i="2"/>
  <c r="AA276" i="2"/>
  <c r="AA275" i="2"/>
  <c r="AA274" i="2"/>
  <c r="AA240" i="2"/>
  <c r="AA239" i="2"/>
  <c r="AA238" i="2"/>
  <c r="AA221" i="2"/>
  <c r="AA205" i="2"/>
  <c r="AA204" i="2"/>
  <c r="AA203" i="2"/>
  <c r="AA202" i="2"/>
  <c r="AA168" i="2"/>
  <c r="AA167" i="2"/>
  <c r="AA166" i="2"/>
  <c r="AA95" i="2"/>
  <c r="AA94" i="2"/>
  <c r="H2" i="4"/>
  <c r="AA535" i="2"/>
  <c r="AA531" i="2"/>
  <c r="AA511" i="2"/>
  <c r="AA478" i="2"/>
  <c r="AA476" i="2"/>
  <c r="AA463" i="2"/>
  <c r="AA439" i="2"/>
  <c r="AA427" i="2"/>
  <c r="AA423" i="2"/>
  <c r="AA391" i="2"/>
  <c r="AA373" i="2"/>
  <c r="AA372" i="2"/>
  <c r="AA371" i="2"/>
  <c r="AA370" i="2"/>
  <c r="AA368" i="2"/>
  <c r="AA355" i="2"/>
  <c r="AA351" i="2"/>
  <c r="AA349" i="2"/>
  <c r="AA348" i="2"/>
  <c r="AA347" i="2"/>
  <c r="AA346" i="2"/>
  <c r="AA336" i="2"/>
  <c r="AA335" i="2"/>
  <c r="AA334" i="2"/>
  <c r="AA333" i="2"/>
  <c r="AA319" i="2"/>
  <c r="AA315" i="2"/>
  <c r="AA301" i="2"/>
  <c r="AA300" i="2"/>
  <c r="AA299" i="2"/>
  <c r="AA298" i="2"/>
  <c r="AA279" i="2"/>
  <c r="AA277" i="2"/>
  <c r="AA265" i="2"/>
  <c r="AA264" i="2"/>
  <c r="AA263" i="2"/>
  <c r="AA247" i="2"/>
  <c r="AA243" i="2"/>
  <c r="AA229" i="2"/>
  <c r="AA228" i="2"/>
  <c r="AA227" i="2"/>
  <c r="AA226" i="2"/>
  <c r="AA207" i="2"/>
  <c r="AA192" i="2"/>
  <c r="AA191" i="2"/>
  <c r="AA190" i="2"/>
  <c r="AA189" i="2"/>
  <c r="AA188" i="2"/>
  <c r="AA171" i="2"/>
  <c r="AA157" i="2"/>
  <c r="AA156" i="2"/>
  <c r="AA155" i="2"/>
  <c r="AA154" i="2"/>
  <c r="AA152" i="2"/>
  <c r="AA151" i="2"/>
  <c r="AA139" i="2"/>
  <c r="AA135" i="2"/>
  <c r="AA134" i="2"/>
  <c r="AA133" i="2"/>
  <c r="AA132" i="2"/>
  <c r="AA130" i="2"/>
  <c r="AA120" i="2"/>
  <c r="AA119" i="2"/>
  <c r="AA118" i="2"/>
  <c r="AA117" i="2"/>
  <c r="AA116" i="2"/>
  <c r="AA115" i="2"/>
  <c r="AA103" i="2"/>
  <c r="AA99" i="2"/>
  <c r="AA98" i="2"/>
  <c r="AA96" i="2"/>
  <c r="AA85" i="2"/>
  <c r="AA84" i="2"/>
  <c r="AA83" i="2"/>
  <c r="AA82" i="2"/>
  <c r="AA81" i="2"/>
  <c r="AA67" i="2"/>
  <c r="AA63" i="2"/>
  <c r="AA49" i="2"/>
  <c r="AA48" i="2"/>
  <c r="AA47" i="2"/>
  <c r="AA46" i="2"/>
  <c r="AA31" i="2"/>
  <c r="AA29" i="2"/>
  <c r="AA13" i="2"/>
  <c r="AA9" i="2"/>
  <c r="AA8" i="2"/>
  <c r="AA7" i="2"/>
  <c r="AA6" i="2"/>
  <c r="AA5" i="2"/>
  <c r="G535" i="2"/>
  <c r="G534" i="2"/>
  <c r="G533" i="2"/>
  <c r="G532" i="2"/>
  <c r="G531" i="2"/>
  <c r="G530" i="2"/>
  <c r="G529" i="2"/>
  <c r="G528" i="2"/>
  <c r="G527" i="2"/>
  <c r="G526" i="2"/>
  <c r="G517" i="2"/>
  <c r="G516" i="2"/>
  <c r="G515" i="2"/>
  <c r="G514" i="2"/>
  <c r="G513" i="2"/>
  <c r="G512" i="2"/>
  <c r="G511" i="2"/>
  <c r="G510" i="2"/>
  <c r="G509" i="2"/>
  <c r="G508" i="2"/>
  <c r="G499" i="2"/>
  <c r="G498" i="2"/>
  <c r="G497" i="2"/>
  <c r="G496" i="2"/>
  <c r="G495" i="2"/>
  <c r="G481" i="2"/>
  <c r="G480" i="2"/>
  <c r="G479" i="2"/>
  <c r="G478" i="2"/>
  <c r="G477" i="2"/>
  <c r="G476" i="2"/>
  <c r="G475" i="2"/>
  <c r="G474" i="2"/>
  <c r="G463" i="2"/>
  <c r="G462" i="2"/>
  <c r="G461" i="2"/>
  <c r="G460" i="2"/>
  <c r="G459" i="2"/>
  <c r="G445" i="2"/>
  <c r="G444" i="2"/>
  <c r="G443" i="2"/>
  <c r="G442" i="2"/>
  <c r="G441" i="2"/>
  <c r="G427" i="2"/>
  <c r="G426" i="2"/>
  <c r="G425" i="2"/>
  <c r="G424" i="2"/>
  <c r="G423" i="2"/>
  <c r="G409" i="2"/>
  <c r="G408" i="2"/>
  <c r="G407" i="2"/>
  <c r="G406" i="2"/>
  <c r="G405" i="2"/>
  <c r="G404" i="2"/>
  <c r="G391" i="2"/>
  <c r="G390" i="2"/>
  <c r="G389" i="2"/>
  <c r="G388" i="2"/>
  <c r="G387" i="2"/>
  <c r="G373" i="2"/>
  <c r="G372" i="2"/>
  <c r="G371" i="2"/>
  <c r="G370" i="2"/>
  <c r="G369" i="2"/>
  <c r="G355" i="2"/>
  <c r="G354" i="2"/>
  <c r="G353" i="2"/>
  <c r="G352" i="2"/>
  <c r="G351" i="2"/>
  <c r="G350" i="2"/>
  <c r="G337" i="2"/>
  <c r="G336" i="2"/>
  <c r="G335" i="2"/>
  <c r="G334" i="2"/>
  <c r="G333" i="2"/>
  <c r="G332" i="2"/>
  <c r="G319" i="2"/>
  <c r="G318" i="2"/>
  <c r="G317" i="2"/>
  <c r="G316" i="2"/>
  <c r="G315" i="2"/>
  <c r="G301" i="2"/>
  <c r="G300" i="2"/>
  <c r="R10" i="4"/>
  <c r="R11" i="4" s="1"/>
  <c r="R12" i="4" s="1"/>
  <c r="R13" i="4" s="1"/>
  <c r="R14" i="4" s="1"/>
  <c r="R15" i="4" s="1"/>
  <c r="R16" i="4" s="1"/>
  <c r="R17" i="4" s="1"/>
  <c r="R18" i="4" s="1"/>
  <c r="T17" i="4"/>
  <c r="B43" i="9" s="1"/>
  <c r="T16" i="4"/>
  <c r="B42" i="9" s="1"/>
  <c r="T15" i="4"/>
  <c r="B41" i="9" s="1"/>
  <c r="T14" i="4"/>
  <c r="B40" i="9" s="1"/>
  <c r="T13" i="4"/>
  <c r="B39" i="9" s="1"/>
  <c r="T12" i="4"/>
  <c r="B38" i="9" s="1"/>
  <c r="T11" i="4"/>
  <c r="B37" i="9" s="1"/>
  <c r="T10" i="4"/>
  <c r="B36" i="9" s="1"/>
  <c r="T9" i="4"/>
  <c r="B35" i="9" s="1"/>
  <c r="T8" i="4"/>
  <c r="B34" i="9" s="1"/>
  <c r="T7" i="4"/>
  <c r="B33" i="9" s="1"/>
  <c r="T5" i="4"/>
  <c r="B31" i="9" s="1"/>
  <c r="T4" i="4"/>
  <c r="B30" i="9" s="1"/>
  <c r="T3" i="4"/>
  <c r="B29" i="9" s="1"/>
  <c r="T2" i="4"/>
  <c r="B28" i="9" s="1"/>
  <c r="A502" i="3" l="1"/>
  <c r="A503" i="3"/>
  <c r="A509" i="3" s="1"/>
  <c r="A515" i="3" s="1"/>
  <c r="A521" i="3" s="1"/>
  <c r="A527" i="3" s="1"/>
  <c r="A533" i="3" s="1"/>
  <c r="A539" i="3" s="1"/>
  <c r="A545" i="3" s="1"/>
  <c r="A551" i="3" s="1"/>
  <c r="A557" i="3" s="1"/>
  <c r="A563" i="3" s="1"/>
  <c r="A569" i="3" s="1"/>
  <c r="A575" i="3" s="1"/>
  <c r="A581" i="3" s="1"/>
  <c r="A587" i="3" s="1"/>
  <c r="A593" i="3" s="1"/>
  <c r="A599" i="3" s="1"/>
  <c r="A605" i="3" s="1"/>
  <c r="A611" i="3" s="1"/>
  <c r="A617" i="3" s="1"/>
  <c r="A623" i="3" s="1"/>
  <c r="A629" i="3" s="1"/>
  <c r="A635" i="3" s="1"/>
  <c r="A641" i="3" s="1"/>
  <c r="A647" i="3" s="1"/>
  <c r="A653" i="3" s="1"/>
  <c r="A659" i="3" s="1"/>
  <c r="A505" i="3"/>
  <c r="A511" i="3" s="1"/>
  <c r="A517" i="3" s="1"/>
  <c r="A523" i="3" s="1"/>
  <c r="A529" i="3" s="1"/>
  <c r="A535" i="3" s="1"/>
  <c r="A541" i="3" s="1"/>
  <c r="A547" i="3" s="1"/>
  <c r="A553" i="3" s="1"/>
  <c r="A559" i="3" s="1"/>
  <c r="A565" i="3" s="1"/>
  <c r="A571" i="3" s="1"/>
  <c r="A577" i="3" s="1"/>
  <c r="A583" i="3" s="1"/>
  <c r="A589" i="3" s="1"/>
  <c r="A595" i="3" s="1"/>
  <c r="A601" i="3" s="1"/>
  <c r="A607" i="3" s="1"/>
  <c r="A613" i="3" s="1"/>
  <c r="A619" i="3" s="1"/>
  <c r="A625" i="3" s="1"/>
  <c r="A631" i="3" s="1"/>
  <c r="A637" i="3" s="1"/>
  <c r="A643" i="3" s="1"/>
  <c r="A649" i="3" s="1"/>
  <c r="A655" i="3" s="1"/>
  <c r="A661" i="3" s="1"/>
  <c r="A506" i="3"/>
  <c r="A512" i="3" s="1"/>
  <c r="A518" i="3" s="1"/>
  <c r="A524" i="3" s="1"/>
  <c r="A530" i="3" s="1"/>
  <c r="A536" i="3" s="1"/>
  <c r="A542" i="3" s="1"/>
  <c r="A548" i="3" s="1"/>
  <c r="A554" i="3" s="1"/>
  <c r="A560" i="3" s="1"/>
  <c r="A566" i="3" s="1"/>
  <c r="A572" i="3" s="1"/>
  <c r="A578" i="3" s="1"/>
  <c r="A584" i="3" s="1"/>
  <c r="A590" i="3" s="1"/>
  <c r="A596" i="3" s="1"/>
  <c r="A602" i="3" s="1"/>
  <c r="A608" i="3" s="1"/>
  <c r="A614" i="3" s="1"/>
  <c r="A620" i="3" s="1"/>
  <c r="A626" i="3" s="1"/>
  <c r="A632" i="3" s="1"/>
  <c r="A638" i="3" s="1"/>
  <c r="A644" i="3" s="1"/>
  <c r="A650" i="3" s="1"/>
  <c r="A656" i="3" s="1"/>
  <c r="A662" i="3" s="1"/>
  <c r="A507" i="3"/>
  <c r="A513" i="3" s="1"/>
  <c r="A519" i="3" s="1"/>
  <c r="A525" i="3" s="1"/>
  <c r="A531" i="3" s="1"/>
  <c r="A537" i="3" s="1"/>
  <c r="A543" i="3" s="1"/>
  <c r="A549" i="3" s="1"/>
  <c r="A555" i="3" s="1"/>
  <c r="A561" i="3" s="1"/>
  <c r="A567" i="3" s="1"/>
  <c r="A573" i="3" s="1"/>
  <c r="A579" i="3" s="1"/>
  <c r="A585" i="3" s="1"/>
  <c r="A591" i="3" s="1"/>
  <c r="A597" i="3" s="1"/>
  <c r="A603" i="3" s="1"/>
  <c r="A609" i="3" s="1"/>
  <c r="A615" i="3" s="1"/>
  <c r="A621" i="3" s="1"/>
  <c r="A627" i="3" s="1"/>
  <c r="A633" i="3" s="1"/>
  <c r="A639" i="3" s="1"/>
  <c r="A645" i="3" s="1"/>
  <c r="A651" i="3" s="1"/>
  <c r="A657" i="3" s="1"/>
  <c r="A663" i="3" s="1"/>
  <c r="AA442" i="2"/>
  <c r="AA436" i="2"/>
  <c r="AH263" i="2"/>
  <c r="AH103" i="2"/>
  <c r="E112" i="2"/>
  <c r="E113" i="2" s="1"/>
  <c r="E114" i="2" s="1"/>
  <c r="E115" i="2" s="1"/>
  <c r="E116" i="2" s="1"/>
  <c r="E117" i="2" s="1"/>
  <c r="E118" i="2" s="1"/>
  <c r="E119" i="2" s="1"/>
  <c r="E120" i="2" s="1"/>
  <c r="E121" i="2" s="1"/>
  <c r="E122" i="2" s="1"/>
  <c r="E123" i="2" s="1"/>
  <c r="E124" i="2" s="1"/>
  <c r="E125" i="2" s="1"/>
  <c r="E126" i="2" s="1"/>
  <c r="E127" i="2" s="1"/>
  <c r="E128" i="2" s="1"/>
  <c r="E129" i="2" s="1"/>
  <c r="AH104" i="2"/>
  <c r="E130" i="2"/>
  <c r="E131" i="2" s="1"/>
  <c r="E132" i="2" s="1"/>
  <c r="E133" i="2" s="1"/>
  <c r="E134" i="2" s="1"/>
  <c r="E135" i="2" s="1"/>
  <c r="E136" i="2" s="1"/>
  <c r="E137" i="2" s="1"/>
  <c r="E138" i="2" s="1"/>
  <c r="E139" i="2" s="1"/>
  <c r="E140" i="2" s="1"/>
  <c r="E141" i="2" s="1"/>
  <c r="E142" i="2" s="1"/>
  <c r="E143" i="2" s="1"/>
  <c r="E144" i="2" s="1"/>
  <c r="E145" i="2" s="1"/>
  <c r="E146" i="2" s="1"/>
  <c r="E147" i="2" s="1"/>
  <c r="AH66" i="2"/>
  <c r="AH105" i="2"/>
  <c r="AH264" i="2"/>
  <c r="E148" i="2"/>
  <c r="E149" i="2" s="1"/>
  <c r="E150" i="2" s="1"/>
  <c r="E151" i="2" s="1"/>
  <c r="E152" i="2" s="1"/>
  <c r="E153" i="2" s="1"/>
  <c r="E154" i="2" s="1"/>
  <c r="E155" i="2" s="1"/>
  <c r="E156" i="2" s="1"/>
  <c r="E157" i="2" s="1"/>
  <c r="E158" i="2" s="1"/>
  <c r="E159" i="2" s="1"/>
  <c r="E160" i="2" s="1"/>
  <c r="E161" i="2" s="1"/>
  <c r="E162" i="2" s="1"/>
  <c r="E163" i="2" s="1"/>
  <c r="E164" i="2" s="1"/>
  <c r="E165" i="2" s="1"/>
  <c r="AH47" i="2"/>
  <c r="AH67" i="2"/>
  <c r="AH106" i="2"/>
  <c r="AH265" i="2"/>
  <c r="E166" i="2"/>
  <c r="E167" i="2" s="1"/>
  <c r="E168" i="2" s="1"/>
  <c r="E169" i="2" s="1"/>
  <c r="E170" i="2" s="1"/>
  <c r="E171" i="2" s="1"/>
  <c r="E172" i="2" s="1"/>
  <c r="E173" i="2" s="1"/>
  <c r="E174" i="2" s="1"/>
  <c r="E175" i="2" s="1"/>
  <c r="E176" i="2" s="1"/>
  <c r="E177" i="2" s="1"/>
  <c r="E178" i="2" s="1"/>
  <c r="E179" i="2" s="1"/>
  <c r="E180" i="2" s="1"/>
  <c r="E181" i="2" s="1"/>
  <c r="E182" i="2" s="1"/>
  <c r="E183" i="2" s="1"/>
  <c r="AH48" i="2"/>
  <c r="AH68" i="2"/>
  <c r="AH408" i="2"/>
  <c r="E184" i="2"/>
  <c r="E185" i="2" s="1"/>
  <c r="E186" i="2" s="1"/>
  <c r="E187" i="2" s="1"/>
  <c r="E188" i="2" s="1"/>
  <c r="E189" i="2" s="1"/>
  <c r="E190" i="2" s="1"/>
  <c r="E191" i="2" s="1"/>
  <c r="E192" i="2" s="1"/>
  <c r="E193" i="2" s="1"/>
  <c r="E194" i="2" s="1"/>
  <c r="E195" i="2" s="1"/>
  <c r="E196" i="2" s="1"/>
  <c r="E197" i="2" s="1"/>
  <c r="E198" i="2" s="1"/>
  <c r="E199" i="2" s="1"/>
  <c r="E200" i="2" s="1"/>
  <c r="E201" i="2" s="1"/>
  <c r="E400" i="2"/>
  <c r="E401" i="2" s="1"/>
  <c r="E402" i="2" s="1"/>
  <c r="E403" i="2" s="1"/>
  <c r="E404" i="2" s="1"/>
  <c r="E405" i="2" s="1"/>
  <c r="E406" i="2" s="1"/>
  <c r="E407" i="2" s="1"/>
  <c r="E408" i="2" s="1"/>
  <c r="E409" i="2" s="1"/>
  <c r="E410" i="2" s="1"/>
  <c r="E411" i="2" s="1"/>
  <c r="E412" i="2" s="1"/>
  <c r="E413" i="2" s="1"/>
  <c r="E414" i="2" s="1"/>
  <c r="E415" i="2" s="1"/>
  <c r="E416" i="2" s="1"/>
  <c r="E417" i="2" s="1"/>
  <c r="AH30" i="2"/>
  <c r="AH49" i="2"/>
  <c r="AH69" i="2"/>
  <c r="AH191" i="2"/>
  <c r="AH409" i="2"/>
  <c r="E4" i="2"/>
  <c r="E5" i="2" s="1"/>
  <c r="E6" i="2" s="1"/>
  <c r="E7" i="2" s="1"/>
  <c r="E8" i="2" s="1"/>
  <c r="E9" i="2" s="1"/>
  <c r="E10" i="2" s="1"/>
  <c r="E11" i="2" s="1"/>
  <c r="E12" i="2" s="1"/>
  <c r="E13" i="2" s="1"/>
  <c r="E14" i="2" s="1"/>
  <c r="E15" i="2" s="1"/>
  <c r="E16" i="2" s="1"/>
  <c r="E17" i="2" s="1"/>
  <c r="E18" i="2" s="1"/>
  <c r="E19" i="2" s="1"/>
  <c r="E20" i="2" s="1"/>
  <c r="E21" i="2" s="1"/>
  <c r="E202" i="2"/>
  <c r="E203" i="2" s="1"/>
  <c r="E204" i="2" s="1"/>
  <c r="E205" i="2" s="1"/>
  <c r="E206" i="2" s="1"/>
  <c r="E207" i="2" s="1"/>
  <c r="E208" i="2" s="1"/>
  <c r="E209" i="2" s="1"/>
  <c r="E210" i="2" s="1"/>
  <c r="E211" i="2" s="1"/>
  <c r="E212" i="2" s="1"/>
  <c r="E213" i="2" s="1"/>
  <c r="E214" i="2" s="1"/>
  <c r="E215" i="2" s="1"/>
  <c r="E216" i="2" s="1"/>
  <c r="E217" i="2" s="1"/>
  <c r="E218" i="2" s="1"/>
  <c r="E219" i="2" s="1"/>
  <c r="E418" i="2"/>
  <c r="E419" i="2" s="1"/>
  <c r="E420" i="2" s="1"/>
  <c r="E421" i="2" s="1"/>
  <c r="E422" i="2" s="1"/>
  <c r="E423" i="2" s="1"/>
  <c r="E424" i="2" s="1"/>
  <c r="E425" i="2" s="1"/>
  <c r="E426" i="2" s="1"/>
  <c r="E427" i="2" s="1"/>
  <c r="E428" i="2" s="1"/>
  <c r="E429" i="2" s="1"/>
  <c r="E430" i="2" s="1"/>
  <c r="E431" i="2" s="1"/>
  <c r="E432" i="2" s="1"/>
  <c r="E433" i="2" s="1"/>
  <c r="E434" i="2" s="1"/>
  <c r="E435" i="2" s="1"/>
  <c r="AH31" i="2"/>
  <c r="AH50" i="2"/>
  <c r="AH70" i="2"/>
  <c r="AH192" i="2"/>
  <c r="AH410" i="2"/>
  <c r="E220" i="2"/>
  <c r="E221" i="2" s="1"/>
  <c r="E222" i="2" s="1"/>
  <c r="E223" i="2" s="1"/>
  <c r="E224" i="2" s="1"/>
  <c r="E225" i="2" s="1"/>
  <c r="E226" i="2" s="1"/>
  <c r="E227" i="2" s="1"/>
  <c r="E228" i="2" s="1"/>
  <c r="E229" i="2" s="1"/>
  <c r="E230" i="2" s="1"/>
  <c r="E231" i="2" s="1"/>
  <c r="E232" i="2" s="1"/>
  <c r="E233" i="2" s="1"/>
  <c r="E234" i="2" s="1"/>
  <c r="E235" i="2" s="1"/>
  <c r="E236" i="2" s="1"/>
  <c r="E237" i="2" s="1"/>
  <c r="AH12" i="2"/>
  <c r="AH32" i="2"/>
  <c r="AH51" i="2"/>
  <c r="AH193" i="2"/>
  <c r="AH411" i="2"/>
  <c r="E22" i="2"/>
  <c r="E23" i="2" s="1"/>
  <c r="E24" i="2" s="1"/>
  <c r="E25" i="2" s="1"/>
  <c r="E26" i="2" s="1"/>
  <c r="E27" i="2" s="1"/>
  <c r="E28" i="2" s="1"/>
  <c r="E29" i="2" s="1"/>
  <c r="E30" i="2" s="1"/>
  <c r="E31" i="2" s="1"/>
  <c r="E32" i="2" s="1"/>
  <c r="E33" i="2" s="1"/>
  <c r="E34" i="2" s="1"/>
  <c r="E35" i="2" s="1"/>
  <c r="E36" i="2" s="1"/>
  <c r="E37" i="2" s="1"/>
  <c r="E38" i="2" s="1"/>
  <c r="E39" i="2" s="1"/>
  <c r="E238" i="2"/>
  <c r="E239" i="2" s="1"/>
  <c r="E240" i="2" s="1"/>
  <c r="E241" i="2" s="1"/>
  <c r="E242" i="2" s="1"/>
  <c r="E243" i="2" s="1"/>
  <c r="E244" i="2" s="1"/>
  <c r="E245" i="2" s="1"/>
  <c r="E246" i="2" s="1"/>
  <c r="E247" i="2" s="1"/>
  <c r="E248" i="2" s="1"/>
  <c r="E249" i="2" s="1"/>
  <c r="E250" i="2" s="1"/>
  <c r="E251" i="2" s="1"/>
  <c r="E252" i="2" s="1"/>
  <c r="E253" i="2" s="1"/>
  <c r="E254" i="2" s="1"/>
  <c r="E255" i="2" s="1"/>
  <c r="AH13" i="2"/>
  <c r="AH33" i="2"/>
  <c r="AH137" i="2"/>
  <c r="E40" i="2"/>
  <c r="E41" i="2" s="1"/>
  <c r="E42" i="2" s="1"/>
  <c r="E43" i="2" s="1"/>
  <c r="E44" i="2" s="1"/>
  <c r="E45" i="2" s="1"/>
  <c r="E46" i="2" s="1"/>
  <c r="E47" i="2" s="1"/>
  <c r="E48" i="2" s="1"/>
  <c r="E49" i="2" s="1"/>
  <c r="E50" i="2" s="1"/>
  <c r="E51" i="2" s="1"/>
  <c r="E52" i="2" s="1"/>
  <c r="E53" i="2" s="1"/>
  <c r="E54" i="2" s="1"/>
  <c r="E55" i="2" s="1"/>
  <c r="E56" i="2" s="1"/>
  <c r="E57" i="2" s="1"/>
  <c r="E256" i="2"/>
  <c r="E257" i="2" s="1"/>
  <c r="E258" i="2" s="1"/>
  <c r="E259" i="2" s="1"/>
  <c r="E260" i="2" s="1"/>
  <c r="E261" i="2" s="1"/>
  <c r="E262" i="2" s="1"/>
  <c r="E263" i="2" s="1"/>
  <c r="E264" i="2" s="1"/>
  <c r="E265" i="2" s="1"/>
  <c r="E266" i="2" s="1"/>
  <c r="E267" i="2" s="1"/>
  <c r="E268" i="2" s="1"/>
  <c r="E269" i="2" s="1"/>
  <c r="E270" i="2" s="1"/>
  <c r="E271" i="2" s="1"/>
  <c r="E272" i="2" s="1"/>
  <c r="E273" i="2" s="1"/>
  <c r="AH14" i="2"/>
  <c r="AH119" i="2"/>
  <c r="AH138" i="2"/>
  <c r="E58" i="2"/>
  <c r="E59" i="2" s="1"/>
  <c r="E60" i="2" s="1"/>
  <c r="E61" i="2" s="1"/>
  <c r="E62" i="2" s="1"/>
  <c r="E63" i="2" s="1"/>
  <c r="E64" i="2" s="1"/>
  <c r="E65" i="2" s="1"/>
  <c r="E66" i="2" s="1"/>
  <c r="E67" i="2" s="1"/>
  <c r="E68" i="2" s="1"/>
  <c r="E69" i="2" s="1"/>
  <c r="E70" i="2" s="1"/>
  <c r="E71" i="2" s="1"/>
  <c r="E72" i="2" s="1"/>
  <c r="E73" i="2" s="1"/>
  <c r="E74" i="2" s="1"/>
  <c r="E75" i="2" s="1"/>
  <c r="E274" i="2"/>
  <c r="E275" i="2" s="1"/>
  <c r="E276" i="2" s="1"/>
  <c r="E277" i="2" s="1"/>
  <c r="E278" i="2" s="1"/>
  <c r="E279" i="2" s="1"/>
  <c r="E280" i="2" s="1"/>
  <c r="E281" i="2" s="1"/>
  <c r="E282" i="2" s="1"/>
  <c r="E283" i="2" s="1"/>
  <c r="E284" i="2" s="1"/>
  <c r="E285" i="2" s="1"/>
  <c r="E286" i="2" s="1"/>
  <c r="E287" i="2" s="1"/>
  <c r="E288" i="2" s="1"/>
  <c r="E289" i="2" s="1"/>
  <c r="E290" i="2" s="1"/>
  <c r="E291" i="2" s="1"/>
  <c r="AH15" i="2"/>
  <c r="AH120" i="2"/>
  <c r="AH139" i="2"/>
  <c r="E76" i="2"/>
  <c r="E77" i="2" s="1"/>
  <c r="E78" i="2" s="1"/>
  <c r="E79" i="2" s="1"/>
  <c r="E80" i="2" s="1"/>
  <c r="E81" i="2" s="1"/>
  <c r="E82" i="2" s="1"/>
  <c r="E83" i="2" s="1"/>
  <c r="E84" i="2" s="1"/>
  <c r="E85" i="2" s="1"/>
  <c r="E86" i="2" s="1"/>
  <c r="E87" i="2" s="1"/>
  <c r="E88" i="2" s="1"/>
  <c r="E89" i="2" s="1"/>
  <c r="E90" i="2" s="1"/>
  <c r="E91" i="2" s="1"/>
  <c r="E92" i="2" s="1"/>
  <c r="E93" i="2" s="1"/>
  <c r="E292" i="2"/>
  <c r="E293" i="2" s="1"/>
  <c r="E294" i="2" s="1"/>
  <c r="E295" i="2" s="1"/>
  <c r="E296" i="2" s="1"/>
  <c r="E297" i="2" s="1"/>
  <c r="E298" i="2" s="1"/>
  <c r="E299" i="2" s="1"/>
  <c r="E300" i="2" s="1"/>
  <c r="E301" i="2" s="1"/>
  <c r="E302" i="2" s="1"/>
  <c r="E303" i="2" s="1"/>
  <c r="E304" i="2" s="1"/>
  <c r="E305" i="2" s="1"/>
  <c r="E306" i="2" s="1"/>
  <c r="E307" i="2" s="1"/>
  <c r="E308" i="2" s="1"/>
  <c r="E309" i="2" s="1"/>
  <c r="E508" i="2"/>
  <c r="E509" i="2" s="1"/>
  <c r="E510" i="2" s="1"/>
  <c r="E511" i="2" s="1"/>
  <c r="E512" i="2" s="1"/>
  <c r="E513" i="2" s="1"/>
  <c r="E514" i="2" s="1"/>
  <c r="E515" i="2" s="1"/>
  <c r="E516" i="2" s="1"/>
  <c r="E517" i="2" s="1"/>
  <c r="E518" i="2" s="1"/>
  <c r="E519" i="2" s="1"/>
  <c r="E520" i="2" s="1"/>
  <c r="E521" i="2" s="1"/>
  <c r="E522" i="2" s="1"/>
  <c r="E523" i="2" s="1"/>
  <c r="E524" i="2" s="1"/>
  <c r="E525" i="2" s="1"/>
  <c r="AH16" i="2"/>
  <c r="AH102" i="2"/>
  <c r="AH121" i="2"/>
  <c r="E94" i="2"/>
  <c r="E95" i="2" s="1"/>
  <c r="E96" i="2" s="1"/>
  <c r="E97" i="2" s="1"/>
  <c r="E98" i="2" s="1"/>
  <c r="E99" i="2" s="1"/>
  <c r="E100" i="2" s="1"/>
  <c r="E101" i="2" s="1"/>
  <c r="E102" i="2" s="1"/>
  <c r="E103" i="2" s="1"/>
  <c r="E104" i="2" s="1"/>
  <c r="E105" i="2" s="1"/>
  <c r="E106" i="2" s="1"/>
  <c r="E107" i="2" s="1"/>
  <c r="E108" i="2" s="1"/>
  <c r="E109" i="2" s="1"/>
  <c r="E110" i="2" s="1"/>
  <c r="E111" i="2" s="1"/>
  <c r="AH65" i="2"/>
  <c r="AH407" i="2"/>
  <c r="AH11" i="2"/>
  <c r="AH101" i="2"/>
  <c r="AH425" i="2"/>
  <c r="AH400" i="2"/>
  <c r="AH401" i="2"/>
  <c r="AH424" i="2"/>
  <c r="AH257" i="2"/>
  <c r="AH293" i="2"/>
  <c r="AH405" i="2"/>
  <c r="AH258" i="2"/>
  <c r="AH294" i="2"/>
  <c r="AH406" i="2"/>
  <c r="AH418" i="2"/>
  <c r="AH41" i="2"/>
  <c r="AH77" i="2"/>
  <c r="AH113" i="2"/>
  <c r="AH149" i="2"/>
  <c r="AH185" i="2"/>
  <c r="AH419" i="2"/>
  <c r="AH29" i="2"/>
  <c r="AH42" i="2"/>
  <c r="AH78" i="2"/>
  <c r="AH114" i="2"/>
  <c r="AH150" i="2"/>
  <c r="AH186" i="2"/>
  <c r="AH420" i="2"/>
  <c r="AH421" i="2"/>
  <c r="AH422" i="2"/>
  <c r="AH402" i="2"/>
  <c r="AH403" i="2"/>
  <c r="AH43" i="2"/>
  <c r="AH79" i="2"/>
  <c r="AH115" i="2"/>
  <c r="AH151" i="2"/>
  <c r="AH187" i="2"/>
  <c r="AH223" i="2"/>
  <c r="AH259" i="2"/>
  <c r="AH295" i="2"/>
  <c r="AH44" i="2"/>
  <c r="AH80" i="2"/>
  <c r="AH116" i="2"/>
  <c r="AH152" i="2"/>
  <c r="AH188" i="2"/>
  <c r="AH224" i="2"/>
  <c r="AH260" i="2"/>
  <c r="AH296" i="2"/>
  <c r="AH221" i="2"/>
  <c r="AH222" i="2"/>
  <c r="AH9" i="2"/>
  <c r="AH45" i="2"/>
  <c r="AH81" i="2"/>
  <c r="AH117" i="2"/>
  <c r="AH153" i="2"/>
  <c r="AH189" i="2"/>
  <c r="AH225" i="2"/>
  <c r="AH261" i="2"/>
  <c r="AH297" i="2"/>
  <c r="AH10" i="2"/>
  <c r="AH22" i="2"/>
  <c r="AH46" i="2"/>
  <c r="AH58" i="2"/>
  <c r="AH82" i="2"/>
  <c r="AH94" i="2"/>
  <c r="AH118" i="2"/>
  <c r="AH130" i="2"/>
  <c r="AH154" i="2"/>
  <c r="AH166" i="2"/>
  <c r="AH190" i="2"/>
  <c r="AH202" i="2"/>
  <c r="AH226" i="2"/>
  <c r="AH238" i="2"/>
  <c r="AH262" i="2"/>
  <c r="AH274" i="2"/>
  <c r="AH298" i="2"/>
  <c r="AH23" i="2"/>
  <c r="AH59" i="2"/>
  <c r="AH95" i="2"/>
  <c r="AH131" i="2"/>
  <c r="AH167" i="2"/>
  <c r="AH203" i="2"/>
  <c r="AH239" i="2"/>
  <c r="AH275" i="2"/>
  <c r="AH24" i="2"/>
  <c r="AH60" i="2"/>
  <c r="AH96" i="2"/>
  <c r="AH132" i="2"/>
  <c r="AH168" i="2"/>
  <c r="AH204" i="2"/>
  <c r="AH240" i="2"/>
  <c r="AH276" i="2"/>
  <c r="AH25" i="2"/>
  <c r="AH61" i="2"/>
  <c r="AH97" i="2"/>
  <c r="AH133" i="2"/>
  <c r="AH169" i="2"/>
  <c r="AH205" i="2"/>
  <c r="AH241" i="2"/>
  <c r="AH277" i="2"/>
  <c r="AH26" i="2"/>
  <c r="AH62" i="2"/>
  <c r="AH98" i="2"/>
  <c r="AH134" i="2"/>
  <c r="AH170" i="2"/>
  <c r="AH206" i="2"/>
  <c r="AH242" i="2"/>
  <c r="AH278" i="2"/>
  <c r="AH27" i="2"/>
  <c r="AH63" i="2"/>
  <c r="AH99" i="2"/>
  <c r="AH135" i="2"/>
  <c r="AH171" i="2"/>
  <c r="AH207" i="2"/>
  <c r="AH243" i="2"/>
  <c r="AH279" i="2"/>
  <c r="AH64" i="2"/>
  <c r="AH148" i="2"/>
  <c r="AB112" i="2"/>
  <c r="AB148" i="2"/>
  <c r="AB508" i="2"/>
  <c r="AB166" i="2"/>
  <c r="AB238" i="2"/>
  <c r="AB400" i="2"/>
  <c r="AB256" i="2"/>
  <c r="AB418" i="2"/>
  <c r="AB58" i="2"/>
  <c r="AB76" i="2"/>
  <c r="AB184" i="2"/>
  <c r="AB202" i="2"/>
  <c r="AB274" i="2"/>
  <c r="AB364" i="2"/>
  <c r="AB472" i="2"/>
  <c r="AB382" i="2"/>
  <c r="AB4" i="2"/>
  <c r="AB130" i="2"/>
  <c r="AB346" i="2"/>
  <c r="AB454" i="2"/>
  <c r="AB40" i="2"/>
  <c r="AB292" i="2"/>
  <c r="AB22" i="2"/>
  <c r="AB310" i="2"/>
  <c r="AB490" i="2"/>
  <c r="AB220" i="2"/>
  <c r="AB328" i="2"/>
  <c r="AB526" i="2"/>
  <c r="AB94" i="2"/>
  <c r="AH4" i="2"/>
  <c r="AH5" i="2"/>
  <c r="AH6" i="2"/>
  <c r="AH7" i="2"/>
  <c r="AH8" i="2"/>
  <c r="P31" i="9"/>
  <c r="R19" i="4"/>
  <c r="C526" i="2"/>
  <c r="B526" i="2"/>
  <c r="D526" i="2"/>
  <c r="C508" i="2"/>
  <c r="D508" i="2"/>
  <c r="D490" i="2"/>
  <c r="C490" i="2"/>
  <c r="B490" i="2"/>
  <c r="C472" i="2"/>
  <c r="D472" i="2"/>
  <c r="B472" i="2"/>
  <c r="D454" i="2"/>
  <c r="C454" i="2"/>
  <c r="B454" i="2"/>
  <c r="C436" i="2"/>
  <c r="B436" i="2"/>
  <c r="D436" i="2"/>
  <c r="D418" i="2"/>
  <c r="C418" i="2"/>
  <c r="B418" i="2"/>
  <c r="C400" i="2"/>
  <c r="B400" i="2"/>
  <c r="D400" i="2"/>
  <c r="D382" i="2"/>
  <c r="C382" i="2"/>
  <c r="B382" i="2"/>
  <c r="D364" i="2"/>
  <c r="C364" i="2"/>
  <c r="B364" i="2"/>
  <c r="D346" i="2"/>
  <c r="C346" i="2"/>
  <c r="B346" i="2"/>
  <c r="C328" i="2"/>
  <c r="B328" i="2"/>
  <c r="D328" i="2"/>
  <c r="D310" i="2"/>
  <c r="C310" i="2"/>
  <c r="B310" i="2"/>
  <c r="D292" i="2"/>
  <c r="C292" i="2"/>
  <c r="B292" i="2"/>
  <c r="A3" i="4"/>
  <c r="G13" i="2"/>
  <c r="G12" i="2"/>
  <c r="G11" i="2"/>
  <c r="G283" i="2"/>
  <c r="G282" i="2"/>
  <c r="G265" i="2"/>
  <c r="G264" i="2"/>
  <c r="G263" i="2"/>
  <c r="G262" i="2"/>
  <c r="G261" i="2"/>
  <c r="G247" i="2"/>
  <c r="G246" i="2"/>
  <c r="G245" i="2"/>
  <c r="G244" i="2"/>
  <c r="G229" i="2"/>
  <c r="G228" i="2"/>
  <c r="G227" i="2"/>
  <c r="G226" i="2"/>
  <c r="G225" i="2"/>
  <c r="G211" i="2"/>
  <c r="G210" i="2"/>
  <c r="G209" i="2"/>
  <c r="G208" i="2"/>
  <c r="G193" i="2"/>
  <c r="G192" i="2"/>
  <c r="G191" i="2"/>
  <c r="G190" i="2"/>
  <c r="G175" i="2"/>
  <c r="G174" i="2"/>
  <c r="G173" i="2"/>
  <c r="G172" i="2"/>
  <c r="G171" i="2"/>
  <c r="G157" i="2"/>
  <c r="G156" i="2"/>
  <c r="G155" i="2"/>
  <c r="G154" i="2"/>
  <c r="G153" i="2"/>
  <c r="G139" i="2"/>
  <c r="G138" i="2"/>
  <c r="G137" i="2"/>
  <c r="G136" i="2"/>
  <c r="G121" i="2"/>
  <c r="G120" i="2"/>
  <c r="G119" i="2"/>
  <c r="G118" i="2"/>
  <c r="G117" i="2"/>
  <c r="G103" i="2"/>
  <c r="G102" i="2"/>
  <c r="G101" i="2"/>
  <c r="G100" i="2"/>
  <c r="G99" i="2"/>
  <c r="G85" i="2"/>
  <c r="G84" i="2"/>
  <c r="G83" i="2"/>
  <c r="G67" i="2"/>
  <c r="G66" i="2"/>
  <c r="G65" i="2"/>
  <c r="G49" i="2"/>
  <c r="G48" i="2"/>
  <c r="G47" i="2"/>
  <c r="G46" i="2"/>
  <c r="G45" i="2"/>
  <c r="G31" i="2"/>
  <c r="G30" i="2"/>
  <c r="G29" i="2"/>
  <c r="G28" i="2"/>
  <c r="A508" i="3" l="1"/>
  <c r="A514" i="3" s="1"/>
  <c r="AB436" i="2"/>
  <c r="AF411" i="2"/>
  <c r="AG411" i="2" s="1"/>
  <c r="AF193" i="2"/>
  <c r="AG193" i="2" s="1"/>
  <c r="AF51" i="2"/>
  <c r="AG51" i="2" s="1"/>
  <c r="AF32" i="2"/>
  <c r="AG32" i="2" s="1"/>
  <c r="AF106" i="2"/>
  <c r="AG106" i="2" s="1"/>
  <c r="AF67" i="2"/>
  <c r="AG67" i="2" s="1"/>
  <c r="AF120" i="2"/>
  <c r="AG120" i="2" s="1"/>
  <c r="AF15" i="2"/>
  <c r="AG15" i="2" s="1"/>
  <c r="AF138" i="2"/>
  <c r="AG138" i="2" s="1"/>
  <c r="AF34" i="2"/>
  <c r="AG34" i="2" s="1"/>
  <c r="AF410" i="2"/>
  <c r="AG410" i="2" s="1"/>
  <c r="AF192" i="2"/>
  <c r="AG192" i="2" s="1"/>
  <c r="AF70" i="2"/>
  <c r="AG70" i="2" s="1"/>
  <c r="AF50" i="2"/>
  <c r="AG50" i="2" s="1"/>
  <c r="AF31" i="2"/>
  <c r="AG31" i="2" s="1"/>
  <c r="AF409" i="2"/>
  <c r="AG409" i="2" s="1"/>
  <c r="AF191" i="2"/>
  <c r="AG191" i="2" s="1"/>
  <c r="AF69" i="2"/>
  <c r="AG69" i="2" s="1"/>
  <c r="AF49" i="2"/>
  <c r="AG49" i="2" s="1"/>
  <c r="AF30" i="2"/>
  <c r="AG30" i="2" s="1"/>
  <c r="AF137" i="2"/>
  <c r="AG137" i="2" s="1"/>
  <c r="AF408" i="2"/>
  <c r="AG408" i="2" s="1"/>
  <c r="AF68" i="2"/>
  <c r="AG68" i="2" s="1"/>
  <c r="AF48" i="2"/>
  <c r="AG48" i="2" s="1"/>
  <c r="AF265" i="2"/>
  <c r="AG265" i="2" s="1"/>
  <c r="AF47" i="2"/>
  <c r="AG47" i="2" s="1"/>
  <c r="AF14" i="2"/>
  <c r="AG14" i="2" s="1"/>
  <c r="AF264" i="2"/>
  <c r="AG264" i="2" s="1"/>
  <c r="AF105" i="2"/>
  <c r="AG105" i="2" s="1"/>
  <c r="AF66" i="2"/>
  <c r="AG66" i="2" s="1"/>
  <c r="AF13" i="2"/>
  <c r="AG13" i="2" s="1"/>
  <c r="AF263" i="2"/>
  <c r="AG263" i="2" s="1"/>
  <c r="AF104" i="2"/>
  <c r="AG104" i="2" s="1"/>
  <c r="AF139" i="2"/>
  <c r="AG139" i="2" s="1"/>
  <c r="AF33" i="2"/>
  <c r="AG33" i="2" s="1"/>
  <c r="AF12" i="2"/>
  <c r="AG12" i="2" s="1"/>
  <c r="AF103" i="2"/>
  <c r="AG103" i="2" s="1"/>
  <c r="AF121" i="2"/>
  <c r="AG121" i="2" s="1"/>
  <c r="AF102" i="2"/>
  <c r="AG102" i="2" s="1"/>
  <c r="AF16" i="2"/>
  <c r="AG16" i="2" s="1"/>
  <c r="AF119" i="2"/>
  <c r="AG119" i="2" s="1"/>
  <c r="AF423" i="2"/>
  <c r="AG423" i="2" s="1"/>
  <c r="AF422" i="2"/>
  <c r="AG422" i="2" s="1"/>
  <c r="AF421" i="2"/>
  <c r="AG421" i="2" s="1"/>
  <c r="AF420" i="2"/>
  <c r="AG420" i="2" s="1"/>
  <c r="AF65" i="2"/>
  <c r="AG65" i="2" s="1"/>
  <c r="AF419" i="2"/>
  <c r="AG419" i="2" s="1"/>
  <c r="AF407" i="2"/>
  <c r="AG407" i="2" s="1"/>
  <c r="AF418" i="2"/>
  <c r="AG418" i="2" s="1"/>
  <c r="AF406" i="2"/>
  <c r="AG406" i="2" s="1"/>
  <c r="AF101" i="2"/>
  <c r="AG101" i="2" s="1"/>
  <c r="AF405" i="2"/>
  <c r="AG405" i="2" s="1"/>
  <c r="AF404" i="2"/>
  <c r="AG404" i="2" s="1"/>
  <c r="AF403" i="2"/>
  <c r="AG403" i="2" s="1"/>
  <c r="AF402" i="2"/>
  <c r="AG402" i="2" s="1"/>
  <c r="AF425" i="2"/>
  <c r="AG425" i="2" s="1"/>
  <c r="AF401" i="2"/>
  <c r="AG401" i="2" s="1"/>
  <c r="AF11" i="2"/>
  <c r="AG11" i="2" s="1"/>
  <c r="AF424" i="2"/>
  <c r="AG424" i="2" s="1"/>
  <c r="AF400" i="2"/>
  <c r="AG400" i="2" s="1"/>
  <c r="AF275" i="2"/>
  <c r="AG275" i="2" s="1"/>
  <c r="AF239" i="2"/>
  <c r="AG239" i="2" s="1"/>
  <c r="AF203" i="2"/>
  <c r="AG203" i="2" s="1"/>
  <c r="AF167" i="2"/>
  <c r="AG167" i="2" s="1"/>
  <c r="AF131" i="2"/>
  <c r="AG131" i="2" s="1"/>
  <c r="AF95" i="2"/>
  <c r="AG95" i="2" s="1"/>
  <c r="AF59" i="2"/>
  <c r="AG59" i="2" s="1"/>
  <c r="AF22" i="2"/>
  <c r="AG22" i="2" s="1"/>
  <c r="AF168" i="2"/>
  <c r="AG168" i="2" s="1"/>
  <c r="AF298" i="2"/>
  <c r="AG298" i="2" s="1"/>
  <c r="AF274" i="2"/>
  <c r="AG274" i="2" s="1"/>
  <c r="AF262" i="2"/>
  <c r="AG262" i="2" s="1"/>
  <c r="AF238" i="2"/>
  <c r="AG238" i="2" s="1"/>
  <c r="AF226" i="2"/>
  <c r="AG226" i="2" s="1"/>
  <c r="AF202" i="2"/>
  <c r="AG202" i="2" s="1"/>
  <c r="AF190" i="2"/>
  <c r="AG190" i="2" s="1"/>
  <c r="AF166" i="2"/>
  <c r="AG166" i="2" s="1"/>
  <c r="AF154" i="2"/>
  <c r="AG154" i="2" s="1"/>
  <c r="AF130" i="2"/>
  <c r="AG130" i="2" s="1"/>
  <c r="AF118" i="2"/>
  <c r="AG118" i="2" s="1"/>
  <c r="AF94" i="2"/>
  <c r="AG94" i="2" s="1"/>
  <c r="AF82" i="2"/>
  <c r="AG82" i="2" s="1"/>
  <c r="AF58" i="2"/>
  <c r="AG58" i="2" s="1"/>
  <c r="AF46" i="2"/>
  <c r="AG46" i="2" s="1"/>
  <c r="AF222" i="2"/>
  <c r="AG222" i="2" s="1"/>
  <c r="AF150" i="2"/>
  <c r="AG150" i="2" s="1"/>
  <c r="AF114" i="2"/>
  <c r="AG114" i="2" s="1"/>
  <c r="AF78" i="2"/>
  <c r="AG78" i="2" s="1"/>
  <c r="AF276" i="2"/>
  <c r="AG276" i="2" s="1"/>
  <c r="AF60" i="2"/>
  <c r="AG60" i="2" s="1"/>
  <c r="AF297" i="2"/>
  <c r="AG297" i="2" s="1"/>
  <c r="AF261" i="2"/>
  <c r="AG261" i="2" s="1"/>
  <c r="AF225" i="2"/>
  <c r="AG225" i="2" s="1"/>
  <c r="AF189" i="2"/>
  <c r="AG189" i="2" s="1"/>
  <c r="AF153" i="2"/>
  <c r="AG153" i="2" s="1"/>
  <c r="AF117" i="2"/>
  <c r="AG117" i="2" s="1"/>
  <c r="AF81" i="2"/>
  <c r="AG81" i="2" s="1"/>
  <c r="AF45" i="2"/>
  <c r="AG45" i="2" s="1"/>
  <c r="AF258" i="2"/>
  <c r="AG258" i="2" s="1"/>
  <c r="AF296" i="2"/>
  <c r="AG296" i="2" s="1"/>
  <c r="AF260" i="2"/>
  <c r="AG260" i="2" s="1"/>
  <c r="AF224" i="2"/>
  <c r="AG224" i="2" s="1"/>
  <c r="AF188" i="2"/>
  <c r="AG188" i="2" s="1"/>
  <c r="AF152" i="2"/>
  <c r="AG152" i="2" s="1"/>
  <c r="AF116" i="2"/>
  <c r="AG116" i="2" s="1"/>
  <c r="AF80" i="2"/>
  <c r="AG80" i="2" s="1"/>
  <c r="AF44" i="2"/>
  <c r="AG44" i="2" s="1"/>
  <c r="AF186" i="2"/>
  <c r="AG186" i="2" s="1"/>
  <c r="AF295" i="2"/>
  <c r="AG295" i="2" s="1"/>
  <c r="AF259" i="2"/>
  <c r="AG259" i="2" s="1"/>
  <c r="AF223" i="2"/>
  <c r="AG223" i="2" s="1"/>
  <c r="AF187" i="2"/>
  <c r="AG187" i="2" s="1"/>
  <c r="AF151" i="2"/>
  <c r="AG151" i="2" s="1"/>
  <c r="AF115" i="2"/>
  <c r="AG115" i="2" s="1"/>
  <c r="AF79" i="2"/>
  <c r="AG79" i="2" s="1"/>
  <c r="AF43" i="2"/>
  <c r="AG43" i="2" s="1"/>
  <c r="AF42" i="2"/>
  <c r="AG42" i="2" s="1"/>
  <c r="AF96" i="2"/>
  <c r="AG96" i="2" s="1"/>
  <c r="AF294" i="2"/>
  <c r="AG294" i="2" s="1"/>
  <c r="AF10" i="2"/>
  <c r="AG10" i="2" s="1"/>
  <c r="AF293" i="2"/>
  <c r="AG293" i="2" s="1"/>
  <c r="AF257" i="2"/>
  <c r="AG257" i="2" s="1"/>
  <c r="AF221" i="2"/>
  <c r="AG221" i="2" s="1"/>
  <c r="AF185" i="2"/>
  <c r="AG185" i="2" s="1"/>
  <c r="AF149" i="2"/>
  <c r="AG149" i="2" s="1"/>
  <c r="AF113" i="2"/>
  <c r="AG113" i="2" s="1"/>
  <c r="AF77" i="2"/>
  <c r="AG77" i="2" s="1"/>
  <c r="AF41" i="2"/>
  <c r="AG41" i="2" s="1"/>
  <c r="AF29" i="2"/>
  <c r="AG29" i="2" s="1"/>
  <c r="AF240" i="2"/>
  <c r="AG240" i="2" s="1"/>
  <c r="AF9" i="2"/>
  <c r="AG9" i="2" s="1"/>
  <c r="AF292" i="2"/>
  <c r="AG292" i="2" s="1"/>
  <c r="AF280" i="2"/>
  <c r="AG280" i="2" s="1"/>
  <c r="AF256" i="2"/>
  <c r="AG256" i="2" s="1"/>
  <c r="AF244" i="2"/>
  <c r="AG244" i="2" s="1"/>
  <c r="AF220" i="2"/>
  <c r="AG220" i="2" s="1"/>
  <c r="AF208" i="2"/>
  <c r="AG208" i="2" s="1"/>
  <c r="AF184" i="2"/>
  <c r="AG184" i="2" s="1"/>
  <c r="AF172" i="2"/>
  <c r="AG172" i="2" s="1"/>
  <c r="AF148" i="2"/>
  <c r="AG148" i="2" s="1"/>
  <c r="AF136" i="2"/>
  <c r="AG136" i="2" s="1"/>
  <c r="AF112" i="2"/>
  <c r="AG112" i="2" s="1"/>
  <c r="AF100" i="2"/>
  <c r="AG100" i="2" s="1"/>
  <c r="AF76" i="2"/>
  <c r="AG76" i="2" s="1"/>
  <c r="AF64" i="2"/>
  <c r="AG64" i="2" s="1"/>
  <c r="AF40" i="2"/>
  <c r="AG40" i="2" s="1"/>
  <c r="AF28" i="2"/>
  <c r="AG28" i="2" s="1"/>
  <c r="AF277" i="2"/>
  <c r="AG277" i="2" s="1"/>
  <c r="AF241" i="2"/>
  <c r="AG241" i="2" s="1"/>
  <c r="AF25" i="2"/>
  <c r="AG25" i="2" s="1"/>
  <c r="AF279" i="2"/>
  <c r="AG279" i="2" s="1"/>
  <c r="AF243" i="2"/>
  <c r="AG243" i="2" s="1"/>
  <c r="AF207" i="2"/>
  <c r="AG207" i="2" s="1"/>
  <c r="AF171" i="2"/>
  <c r="AG171" i="2" s="1"/>
  <c r="AF135" i="2"/>
  <c r="AG135" i="2" s="1"/>
  <c r="AF99" i="2"/>
  <c r="AG99" i="2" s="1"/>
  <c r="AF63" i="2"/>
  <c r="AG63" i="2" s="1"/>
  <c r="AF27" i="2"/>
  <c r="AG27" i="2" s="1"/>
  <c r="AF169" i="2"/>
  <c r="AG169" i="2" s="1"/>
  <c r="AF97" i="2"/>
  <c r="AG97" i="2" s="1"/>
  <c r="AF278" i="2"/>
  <c r="AG278" i="2" s="1"/>
  <c r="AF242" i="2"/>
  <c r="AG242" i="2" s="1"/>
  <c r="AF206" i="2"/>
  <c r="AG206" i="2" s="1"/>
  <c r="AF170" i="2"/>
  <c r="AG170" i="2" s="1"/>
  <c r="AF134" i="2"/>
  <c r="AG134" i="2" s="1"/>
  <c r="AF98" i="2"/>
  <c r="AG98" i="2" s="1"/>
  <c r="AF62" i="2"/>
  <c r="AG62" i="2" s="1"/>
  <c r="AF26" i="2"/>
  <c r="AG26" i="2" s="1"/>
  <c r="AF133" i="2"/>
  <c r="AG133" i="2" s="1"/>
  <c r="AF61" i="2"/>
  <c r="AG61" i="2" s="1"/>
  <c r="AF204" i="2"/>
  <c r="AG204" i="2" s="1"/>
  <c r="AF205" i="2"/>
  <c r="AG205" i="2" s="1"/>
  <c r="AF132" i="2"/>
  <c r="AG132" i="2" s="1"/>
  <c r="AF24" i="2"/>
  <c r="AG24" i="2" s="1"/>
  <c r="AF7" i="2"/>
  <c r="AG7" i="2" s="1"/>
  <c r="AF6" i="2"/>
  <c r="AG6" i="2" s="1"/>
  <c r="AF5" i="2"/>
  <c r="AG5" i="2" s="1"/>
  <c r="AF23" i="2"/>
  <c r="AG23" i="2" s="1"/>
  <c r="AF4" i="2"/>
  <c r="AG4" i="2" s="1"/>
  <c r="AF8" i="2"/>
  <c r="AG8" i="2" s="1"/>
  <c r="N31" i="9"/>
  <c r="R20" i="4"/>
  <c r="F508" i="2"/>
  <c r="D509" i="2"/>
  <c r="C509" i="2"/>
  <c r="B509" i="2"/>
  <c r="H3" i="4"/>
  <c r="A4" i="4"/>
  <c r="H28" i="4"/>
  <c r="A520" i="3" l="1"/>
  <c r="O31" i="9"/>
  <c r="R21" i="4"/>
  <c r="F509" i="2"/>
  <c r="C510" i="2"/>
  <c r="B510" i="2"/>
  <c r="D510" i="2"/>
  <c r="F526" i="2"/>
  <c r="F472" i="2"/>
  <c r="F490" i="2"/>
  <c r="F454" i="2"/>
  <c r="G454" i="2" s="1"/>
  <c r="F436" i="2"/>
  <c r="G436" i="2" s="1"/>
  <c r="F418" i="2"/>
  <c r="G418" i="2" s="1"/>
  <c r="F400" i="2"/>
  <c r="G400" i="2" s="1"/>
  <c r="F382" i="2"/>
  <c r="G382" i="2" s="1"/>
  <c r="F364" i="2"/>
  <c r="G364" i="2" s="1"/>
  <c r="F346" i="2"/>
  <c r="G346" i="2" s="1"/>
  <c r="F328" i="2"/>
  <c r="G328" i="2" s="1"/>
  <c r="F310" i="2"/>
  <c r="G310" i="2" s="1"/>
  <c r="F292" i="2"/>
  <c r="G292" i="2" s="1"/>
  <c r="H29" i="4"/>
  <c r="H4" i="4"/>
  <c r="A5" i="4"/>
  <c r="A526" i="3" l="1"/>
  <c r="R22" i="4"/>
  <c r="F510" i="2"/>
  <c r="D511" i="2"/>
  <c r="C511" i="2"/>
  <c r="B511" i="2"/>
  <c r="F527" i="2"/>
  <c r="C527" i="2"/>
  <c r="D527" i="2"/>
  <c r="B527" i="2"/>
  <c r="F491" i="2"/>
  <c r="D491" i="2"/>
  <c r="C491" i="2"/>
  <c r="B491" i="2"/>
  <c r="F473" i="2"/>
  <c r="D473" i="2"/>
  <c r="C473" i="2"/>
  <c r="B473" i="2"/>
  <c r="F437" i="2"/>
  <c r="G437" i="2" s="1"/>
  <c r="F455" i="2"/>
  <c r="G455" i="2" s="1"/>
  <c r="B437" i="2"/>
  <c r="C437" i="2"/>
  <c r="D437" i="2"/>
  <c r="D455" i="2"/>
  <c r="C455" i="2"/>
  <c r="B455" i="2"/>
  <c r="F419" i="2"/>
  <c r="G419" i="2" s="1"/>
  <c r="B419" i="2"/>
  <c r="D419" i="2"/>
  <c r="C419" i="2"/>
  <c r="F401" i="2"/>
  <c r="G401" i="2" s="1"/>
  <c r="C401" i="2"/>
  <c r="B401" i="2"/>
  <c r="D401" i="2"/>
  <c r="F383" i="2"/>
  <c r="G383" i="2" s="1"/>
  <c r="D383" i="2"/>
  <c r="C383" i="2"/>
  <c r="B383" i="2"/>
  <c r="F365" i="2"/>
  <c r="G365" i="2" s="1"/>
  <c r="D365" i="2"/>
  <c r="C365" i="2"/>
  <c r="B365" i="2"/>
  <c r="F347" i="2"/>
  <c r="G347" i="2" s="1"/>
  <c r="C347" i="2"/>
  <c r="D347" i="2"/>
  <c r="B347" i="2"/>
  <c r="F329" i="2"/>
  <c r="G329" i="2" s="1"/>
  <c r="D329" i="2"/>
  <c r="C329" i="2"/>
  <c r="B329" i="2"/>
  <c r="F311" i="2"/>
  <c r="G311" i="2" s="1"/>
  <c r="B311" i="2"/>
  <c r="D311" i="2"/>
  <c r="C311" i="2"/>
  <c r="F293" i="2"/>
  <c r="G293" i="2" s="1"/>
  <c r="D293" i="2"/>
  <c r="B293" i="2"/>
  <c r="C293" i="2"/>
  <c r="H30" i="4"/>
  <c r="H5" i="4"/>
  <c r="A6" i="4"/>
  <c r="S16" i="4"/>
  <c r="C42" i="9" s="1"/>
  <c r="S2" i="4"/>
  <c r="C28" i="9" s="1"/>
  <c r="D58" i="7"/>
  <c r="B58" i="7"/>
  <c r="D57" i="7"/>
  <c r="B57" i="7"/>
  <c r="D56" i="7"/>
  <c r="B56" i="7"/>
  <c r="D55" i="7"/>
  <c r="B55" i="7"/>
  <c r="D54" i="7"/>
  <c r="B54" i="7"/>
  <c r="D53" i="7"/>
  <c r="B53" i="7"/>
  <c r="D52" i="7"/>
  <c r="B52" i="7"/>
  <c r="D51" i="7"/>
  <c r="B51" i="7"/>
  <c r="D50" i="7"/>
  <c r="B50" i="7"/>
  <c r="D49" i="7"/>
  <c r="B49" i="7"/>
  <c r="B48" i="7"/>
  <c r="G43" i="7"/>
  <c r="B43" i="7"/>
  <c r="B42" i="7"/>
  <c r="B41" i="7"/>
  <c r="B40" i="7"/>
  <c r="B35" i="7"/>
  <c r="B34" i="7"/>
  <c r="B33" i="7"/>
  <c r="B32" i="7"/>
  <c r="B31" i="7"/>
  <c r="B30" i="7"/>
  <c r="B26" i="7"/>
  <c r="B24" i="7"/>
  <c r="B23" i="7"/>
  <c r="G44" i="7" l="1"/>
  <c r="J43" i="7"/>
  <c r="H43" i="7"/>
  <c r="B25" i="7"/>
  <c r="B28" i="7" s="1"/>
  <c r="B29" i="7" s="1"/>
  <c r="B27" i="7"/>
  <c r="A532" i="3"/>
  <c r="P28" i="9"/>
  <c r="P42" i="9"/>
  <c r="B40" i="2"/>
  <c r="S4" i="4"/>
  <c r="C30" i="9" s="1"/>
  <c r="S15" i="4"/>
  <c r="C41" i="9" s="1"/>
  <c r="S19" i="4"/>
  <c r="C45" i="9" s="1"/>
  <c r="T19" i="4"/>
  <c r="B45" i="9" s="1"/>
  <c r="T20" i="4"/>
  <c r="B46" i="9" s="1"/>
  <c r="S20" i="4"/>
  <c r="C46" i="9" s="1"/>
  <c r="S21" i="4"/>
  <c r="C47" i="9" s="1"/>
  <c r="T21" i="4"/>
  <c r="B47" i="9" s="1"/>
  <c r="R23" i="4"/>
  <c r="S22" i="4"/>
  <c r="C48" i="9" s="1"/>
  <c r="T22" i="4"/>
  <c r="B48" i="9" s="1"/>
  <c r="F511" i="2"/>
  <c r="D512" i="2"/>
  <c r="C512" i="2"/>
  <c r="B512" i="2"/>
  <c r="D528" i="2"/>
  <c r="C528" i="2"/>
  <c r="B528" i="2"/>
  <c r="F528" i="2"/>
  <c r="D474" i="2"/>
  <c r="C474" i="2"/>
  <c r="B474" i="2"/>
  <c r="F474" i="2"/>
  <c r="B492" i="2"/>
  <c r="D492" i="2"/>
  <c r="C492" i="2"/>
  <c r="F492" i="2"/>
  <c r="G492" i="2" s="1"/>
  <c r="D456" i="2"/>
  <c r="C456" i="2"/>
  <c r="B456" i="2"/>
  <c r="D438" i="2"/>
  <c r="C438" i="2"/>
  <c r="B438" i="2"/>
  <c r="F456" i="2"/>
  <c r="F438" i="2"/>
  <c r="B420" i="2"/>
  <c r="D420" i="2"/>
  <c r="C420" i="2"/>
  <c r="F420" i="2"/>
  <c r="B402" i="2"/>
  <c r="D402" i="2"/>
  <c r="C402" i="2"/>
  <c r="F402" i="2"/>
  <c r="F384" i="2"/>
  <c r="D384" i="2"/>
  <c r="C384" i="2"/>
  <c r="B384" i="2"/>
  <c r="D366" i="2"/>
  <c r="C366" i="2"/>
  <c r="B366" i="2"/>
  <c r="F366" i="2"/>
  <c r="F348" i="2"/>
  <c r="D348" i="2"/>
  <c r="B348" i="2"/>
  <c r="C348" i="2"/>
  <c r="D330" i="2"/>
  <c r="C330" i="2"/>
  <c r="B330" i="2"/>
  <c r="F330" i="2"/>
  <c r="B312" i="2"/>
  <c r="D312" i="2"/>
  <c r="C312" i="2"/>
  <c r="F312" i="2"/>
  <c r="D294" i="2"/>
  <c r="C294" i="2"/>
  <c r="B294" i="2"/>
  <c r="F294" i="2"/>
  <c r="B220" i="2"/>
  <c r="S14" i="4"/>
  <c r="C40" i="9" s="1"/>
  <c r="B202" i="2"/>
  <c r="S13" i="4"/>
  <c r="C39" i="9" s="1"/>
  <c r="B22" i="2"/>
  <c r="S3" i="4"/>
  <c r="C29" i="9" s="1"/>
  <c r="H31" i="4"/>
  <c r="H6" i="4"/>
  <c r="A7" i="4"/>
  <c r="H116" i="4" s="1"/>
  <c r="B256" i="2"/>
  <c r="B4" i="2"/>
  <c r="C202" i="2"/>
  <c r="D202" i="2"/>
  <c r="C220" i="2"/>
  <c r="D220" i="2"/>
  <c r="C256" i="2"/>
  <c r="D256" i="2"/>
  <c r="C4" i="2"/>
  <c r="D40" i="2"/>
  <c r="C40" i="2"/>
  <c r="B36" i="7"/>
  <c r="S17" i="4"/>
  <c r="C43" i="9" s="1"/>
  <c r="S10" i="4"/>
  <c r="C36" i="9" s="1"/>
  <c r="B58" i="2"/>
  <c r="G45" i="7" l="1"/>
  <c r="J44" i="7"/>
  <c r="H44" i="7"/>
  <c r="N28" i="9"/>
  <c r="M28" i="9" s="1"/>
  <c r="O28" i="9"/>
  <c r="A538" i="3"/>
  <c r="B37" i="7"/>
  <c r="B38" i="7" s="1"/>
  <c r="M31" i="9"/>
  <c r="F22" i="2"/>
  <c r="N42" i="9"/>
  <c r="O42" i="9"/>
  <c r="P39" i="9"/>
  <c r="P40" i="9"/>
  <c r="P29" i="9"/>
  <c r="P36" i="9"/>
  <c r="P43" i="9"/>
  <c r="P46" i="9"/>
  <c r="P45" i="9"/>
  <c r="P30" i="9"/>
  <c r="P48" i="9"/>
  <c r="P47" i="9"/>
  <c r="P41" i="9"/>
  <c r="G348" i="2"/>
  <c r="G312" i="2"/>
  <c r="G366" i="2"/>
  <c r="G420" i="2"/>
  <c r="D238" i="2"/>
  <c r="C238" i="2"/>
  <c r="B238" i="2"/>
  <c r="F238" i="2" s="1"/>
  <c r="S18" i="4"/>
  <c r="C44" i="9" s="1"/>
  <c r="T18" i="4"/>
  <c r="B44" i="9" s="1"/>
  <c r="R24" i="4"/>
  <c r="T23" i="4"/>
  <c r="B49" i="9" s="1"/>
  <c r="S23" i="4"/>
  <c r="C49" i="9" s="1"/>
  <c r="F529" i="2"/>
  <c r="D513" i="2"/>
  <c r="B513" i="2"/>
  <c r="C513" i="2"/>
  <c r="D529" i="2"/>
  <c r="C529" i="2"/>
  <c r="B529" i="2"/>
  <c r="F512" i="2"/>
  <c r="C493" i="2"/>
  <c r="B493" i="2"/>
  <c r="D493" i="2"/>
  <c r="F493" i="2"/>
  <c r="F475" i="2"/>
  <c r="D475" i="2"/>
  <c r="B475" i="2"/>
  <c r="C475" i="2"/>
  <c r="F457" i="2"/>
  <c r="D439" i="2"/>
  <c r="B439" i="2"/>
  <c r="C439" i="2"/>
  <c r="C457" i="2"/>
  <c r="B457" i="2"/>
  <c r="D457" i="2"/>
  <c r="F439" i="2"/>
  <c r="F421" i="2"/>
  <c r="C421" i="2"/>
  <c r="B421" i="2"/>
  <c r="D421" i="2"/>
  <c r="F403" i="2"/>
  <c r="B403" i="2"/>
  <c r="D403" i="2"/>
  <c r="C403" i="2"/>
  <c r="D385" i="2"/>
  <c r="C385" i="2"/>
  <c r="B385" i="2"/>
  <c r="F385" i="2"/>
  <c r="F367" i="2"/>
  <c r="C367" i="2"/>
  <c r="B367" i="2"/>
  <c r="D367" i="2"/>
  <c r="F349" i="2"/>
  <c r="C349" i="2"/>
  <c r="D349" i="2"/>
  <c r="B349" i="2"/>
  <c r="F331" i="2"/>
  <c r="C331" i="2"/>
  <c r="B331" i="2"/>
  <c r="D331" i="2"/>
  <c r="C313" i="2"/>
  <c r="D313" i="2"/>
  <c r="B313" i="2"/>
  <c r="F313" i="2"/>
  <c r="F295" i="2"/>
  <c r="B295" i="2"/>
  <c r="D295" i="2"/>
  <c r="C295" i="2"/>
  <c r="B94" i="2"/>
  <c r="S7" i="4"/>
  <c r="C33" i="9" s="1"/>
  <c r="B166" i="2"/>
  <c r="S11" i="4"/>
  <c r="C37" i="9" s="1"/>
  <c r="B76" i="2"/>
  <c r="S6" i="4"/>
  <c r="C32" i="9" s="1"/>
  <c r="B130" i="2"/>
  <c r="S9" i="4"/>
  <c r="C35" i="9" s="1"/>
  <c r="B184" i="2"/>
  <c r="S12" i="4"/>
  <c r="C38" i="9" s="1"/>
  <c r="B112" i="2"/>
  <c r="S8" i="4"/>
  <c r="C34" i="9" s="1"/>
  <c r="G22" i="2"/>
  <c r="H32" i="4"/>
  <c r="H7" i="4"/>
  <c r="H53" i="4"/>
  <c r="H74" i="4"/>
  <c r="H95" i="4"/>
  <c r="A8" i="4"/>
  <c r="G330" i="2" s="1"/>
  <c r="B274" i="2"/>
  <c r="D148" i="2"/>
  <c r="F4" i="2"/>
  <c r="F40" i="2"/>
  <c r="F202" i="2"/>
  <c r="G202" i="2" s="1"/>
  <c r="F220" i="2"/>
  <c r="G220" i="2" s="1"/>
  <c r="F256" i="2"/>
  <c r="G256" i="2" s="1"/>
  <c r="D112" i="2"/>
  <c r="C112" i="2"/>
  <c r="D166" i="2"/>
  <c r="C166" i="2"/>
  <c r="D94" i="2"/>
  <c r="C94" i="2"/>
  <c r="D184" i="2"/>
  <c r="C184" i="2"/>
  <c r="C148" i="2"/>
  <c r="D76" i="2"/>
  <c r="C76" i="2"/>
  <c r="D130" i="2"/>
  <c r="C130" i="2"/>
  <c r="D274" i="2"/>
  <c r="C274" i="2"/>
  <c r="D58" i="2"/>
  <c r="C58" i="2"/>
  <c r="J45" i="7" l="1"/>
  <c r="H45" i="7"/>
  <c r="G46" i="7"/>
  <c r="A544" i="3"/>
  <c r="B39" i="7"/>
  <c r="M42" i="9"/>
  <c r="N46" i="9"/>
  <c r="M46" i="9" s="1"/>
  <c r="O46" i="9"/>
  <c r="N40" i="9"/>
  <c r="M40" i="9" s="1"/>
  <c r="O40" i="9"/>
  <c r="N41" i="9"/>
  <c r="M41" i="9" s="1"/>
  <c r="O41" i="9"/>
  <c r="N30" i="9"/>
  <c r="M30" i="9" s="1"/>
  <c r="O30" i="9"/>
  <c r="N45" i="9"/>
  <c r="M45" i="9" s="1"/>
  <c r="O45" i="9"/>
  <c r="N43" i="9"/>
  <c r="M43" i="9" s="1"/>
  <c r="O43" i="9"/>
  <c r="N29" i="9"/>
  <c r="M29" i="9" s="1"/>
  <c r="O29" i="9"/>
  <c r="N39" i="9"/>
  <c r="M39" i="9" s="1"/>
  <c r="O39" i="9"/>
  <c r="N47" i="9"/>
  <c r="M47" i="9" s="1"/>
  <c r="O47" i="9"/>
  <c r="N48" i="9"/>
  <c r="M48" i="9" s="1"/>
  <c r="O48" i="9"/>
  <c r="N36" i="9"/>
  <c r="M36" i="9" s="1"/>
  <c r="O36" i="9"/>
  <c r="P37" i="9"/>
  <c r="P49" i="9"/>
  <c r="P34" i="9"/>
  <c r="P44" i="9"/>
  <c r="P38" i="9"/>
  <c r="P33" i="9"/>
  <c r="P35" i="9"/>
  <c r="P32" i="9"/>
  <c r="G294" i="2"/>
  <c r="G493" i="2"/>
  <c r="G438" i="2"/>
  <c r="G490" i="2"/>
  <c r="G472" i="2"/>
  <c r="G384" i="2"/>
  <c r="G456" i="2"/>
  <c r="G402" i="2"/>
  <c r="G238" i="2"/>
  <c r="G40" i="2"/>
  <c r="R25" i="4"/>
  <c r="T24" i="4"/>
  <c r="B50" i="9" s="1"/>
  <c r="S24" i="4"/>
  <c r="C50" i="9" s="1"/>
  <c r="F513" i="2"/>
  <c r="C514" i="2"/>
  <c r="B514" i="2"/>
  <c r="D514" i="2"/>
  <c r="D530" i="2"/>
  <c r="C530" i="2"/>
  <c r="B530" i="2"/>
  <c r="F530" i="2"/>
  <c r="B476" i="2"/>
  <c r="C476" i="2"/>
  <c r="D476" i="2"/>
  <c r="F476" i="2"/>
  <c r="D494" i="2"/>
  <c r="C494" i="2"/>
  <c r="B494" i="2"/>
  <c r="F494" i="2"/>
  <c r="F440" i="2"/>
  <c r="F458" i="2"/>
  <c r="G458" i="2" s="1"/>
  <c r="B458" i="2"/>
  <c r="D458" i="2"/>
  <c r="C458" i="2"/>
  <c r="D440" i="2"/>
  <c r="C440" i="2"/>
  <c r="B440" i="2"/>
  <c r="D422" i="2"/>
  <c r="C422" i="2"/>
  <c r="B422" i="2"/>
  <c r="F422" i="2"/>
  <c r="G422" i="2" s="1"/>
  <c r="F404" i="2"/>
  <c r="D404" i="2"/>
  <c r="C404" i="2"/>
  <c r="B404" i="2"/>
  <c r="F386" i="2"/>
  <c r="G386" i="2" s="1"/>
  <c r="D386" i="2"/>
  <c r="C386" i="2"/>
  <c r="B386" i="2"/>
  <c r="D368" i="2"/>
  <c r="C368" i="2"/>
  <c r="B368" i="2"/>
  <c r="F368" i="2"/>
  <c r="G368" i="2" s="1"/>
  <c r="F350" i="2"/>
  <c r="D350" i="2"/>
  <c r="C350" i="2"/>
  <c r="B350" i="2"/>
  <c r="D332" i="2"/>
  <c r="B332" i="2"/>
  <c r="C332" i="2"/>
  <c r="F332" i="2"/>
  <c r="D314" i="2"/>
  <c r="C314" i="2"/>
  <c r="B314" i="2"/>
  <c r="F314" i="2"/>
  <c r="D296" i="2"/>
  <c r="C296" i="2"/>
  <c r="B296" i="2"/>
  <c r="F296" i="2"/>
  <c r="H33" i="4"/>
  <c r="H8" i="4"/>
  <c r="H54" i="4"/>
  <c r="H75" i="4"/>
  <c r="H96" i="4"/>
  <c r="H117" i="4"/>
  <c r="H137" i="4"/>
  <c r="A9" i="4"/>
  <c r="C257" i="2"/>
  <c r="D239" i="2"/>
  <c r="D221" i="2"/>
  <c r="D203" i="2"/>
  <c r="B5" i="2"/>
  <c r="F274" i="2"/>
  <c r="G274" i="2" s="1"/>
  <c r="F148" i="2"/>
  <c r="G148" i="2" s="1"/>
  <c r="F184" i="2"/>
  <c r="G184" i="2" s="1"/>
  <c r="F166" i="2"/>
  <c r="G166" i="2" s="1"/>
  <c r="F76" i="2"/>
  <c r="G76" i="2" s="1"/>
  <c r="F130" i="2"/>
  <c r="G130" i="2" s="1"/>
  <c r="F112" i="2"/>
  <c r="G112" i="2" s="1"/>
  <c r="F58" i="2"/>
  <c r="H46" i="7" l="1"/>
  <c r="J46" i="7"/>
  <c r="G47" i="7"/>
  <c r="A550" i="3"/>
  <c r="N35" i="9"/>
  <c r="M35" i="9" s="1"/>
  <c r="O35" i="9"/>
  <c r="N34" i="9"/>
  <c r="M34" i="9" s="1"/>
  <c r="O34" i="9"/>
  <c r="N32" i="9"/>
  <c r="M32" i="9" s="1"/>
  <c r="O32" i="9"/>
  <c r="N49" i="9"/>
  <c r="M49" i="9" s="1"/>
  <c r="O49" i="9"/>
  <c r="N37" i="9"/>
  <c r="M37" i="9" s="1"/>
  <c r="O37" i="9"/>
  <c r="N33" i="9"/>
  <c r="M33" i="9" s="1"/>
  <c r="O33" i="9"/>
  <c r="N38" i="9"/>
  <c r="M38" i="9" s="1"/>
  <c r="O38" i="9"/>
  <c r="N44" i="9"/>
  <c r="M44" i="9" s="1"/>
  <c r="O44" i="9"/>
  <c r="P50" i="9"/>
  <c r="N50" i="9" s="1"/>
  <c r="M50" i="9" s="1"/>
  <c r="F94" i="2"/>
  <c r="F239" i="2"/>
  <c r="G239" i="2" s="1"/>
  <c r="R26" i="4"/>
  <c r="T26" i="4" s="1"/>
  <c r="B52" i="9" s="1"/>
  <c r="T25" i="4"/>
  <c r="B51" i="9" s="1"/>
  <c r="S25" i="4"/>
  <c r="C51" i="9" s="1"/>
  <c r="F531" i="2"/>
  <c r="D531" i="2"/>
  <c r="C531" i="2"/>
  <c r="B531" i="2"/>
  <c r="D515" i="2"/>
  <c r="C515" i="2"/>
  <c r="B515" i="2"/>
  <c r="F514" i="2"/>
  <c r="F477" i="2"/>
  <c r="F495" i="2"/>
  <c r="D477" i="2"/>
  <c r="B477" i="2"/>
  <c r="C477" i="2"/>
  <c r="D495" i="2"/>
  <c r="C495" i="2"/>
  <c r="B495" i="2"/>
  <c r="D441" i="2"/>
  <c r="B441" i="2"/>
  <c r="C441" i="2"/>
  <c r="F459" i="2"/>
  <c r="F441" i="2"/>
  <c r="C459" i="2"/>
  <c r="B459" i="2"/>
  <c r="D459" i="2"/>
  <c r="F423" i="2"/>
  <c r="D423" i="2"/>
  <c r="B423" i="2"/>
  <c r="C423" i="2"/>
  <c r="D405" i="2"/>
  <c r="C405" i="2"/>
  <c r="B405" i="2"/>
  <c r="F405" i="2"/>
  <c r="D387" i="2"/>
  <c r="C387" i="2"/>
  <c r="B387" i="2"/>
  <c r="F387" i="2"/>
  <c r="F369" i="2"/>
  <c r="D369" i="2"/>
  <c r="C369" i="2"/>
  <c r="B369" i="2"/>
  <c r="D351" i="2"/>
  <c r="C351" i="2"/>
  <c r="B351" i="2"/>
  <c r="F351" i="2"/>
  <c r="D333" i="2"/>
  <c r="C333" i="2"/>
  <c r="B333" i="2"/>
  <c r="F333" i="2"/>
  <c r="F315" i="2"/>
  <c r="D315" i="2"/>
  <c r="C315" i="2"/>
  <c r="B315" i="2"/>
  <c r="D297" i="2"/>
  <c r="C297" i="2"/>
  <c r="B297" i="2"/>
  <c r="F297" i="2"/>
  <c r="G297" i="2" s="1"/>
  <c r="G58" i="2"/>
  <c r="H34" i="4"/>
  <c r="H9" i="4"/>
  <c r="H55" i="4"/>
  <c r="H76" i="4"/>
  <c r="H97" i="4"/>
  <c r="H118" i="4"/>
  <c r="H138" i="4"/>
  <c r="A10" i="4"/>
  <c r="F257" i="2"/>
  <c r="C239" i="2"/>
  <c r="F5" i="2"/>
  <c r="F221" i="2"/>
  <c r="G221" i="2" s="1"/>
  <c r="F203" i="2"/>
  <c r="G203" i="2" s="1"/>
  <c r="D257" i="2"/>
  <c r="B167" i="2"/>
  <c r="B185" i="2"/>
  <c r="B149" i="2"/>
  <c r="B203" i="2"/>
  <c r="B221" i="2"/>
  <c r="B59" i="2"/>
  <c r="B239" i="2"/>
  <c r="B257" i="2"/>
  <c r="D275" i="2"/>
  <c r="B131" i="2"/>
  <c r="C221" i="2"/>
  <c r="C203" i="2"/>
  <c r="C5" i="2"/>
  <c r="D5" i="2"/>
  <c r="J47" i="7" l="1"/>
  <c r="H47" i="7"/>
  <c r="G48" i="7"/>
  <c r="A556" i="3"/>
  <c r="O50" i="9"/>
  <c r="P51" i="9"/>
  <c r="N51" i="9" s="1"/>
  <c r="M51" i="9" s="1"/>
  <c r="B113" i="2"/>
  <c r="D113" i="2"/>
  <c r="C113" i="2"/>
  <c r="D77" i="2"/>
  <c r="C77" i="2"/>
  <c r="D95" i="2"/>
  <c r="B95" i="2"/>
  <c r="C95" i="2"/>
  <c r="G94" i="2"/>
  <c r="F95" i="2"/>
  <c r="G95" i="2" s="1"/>
  <c r="R27" i="4"/>
  <c r="S26" i="4"/>
  <c r="C52" i="9" s="1"/>
  <c r="M52" i="9" s="1"/>
  <c r="F59" i="2"/>
  <c r="F515" i="2"/>
  <c r="D532" i="2"/>
  <c r="C532" i="2"/>
  <c r="B532" i="2"/>
  <c r="D516" i="2"/>
  <c r="C516" i="2"/>
  <c r="B516" i="2"/>
  <c r="F532" i="2"/>
  <c r="D478" i="2"/>
  <c r="C478" i="2"/>
  <c r="B478" i="2"/>
  <c r="B496" i="2"/>
  <c r="D496" i="2"/>
  <c r="C496" i="2"/>
  <c r="F496" i="2"/>
  <c r="F478" i="2"/>
  <c r="C460" i="2"/>
  <c r="D460" i="2"/>
  <c r="B460" i="2"/>
  <c r="F460" i="2"/>
  <c r="F442" i="2"/>
  <c r="D442" i="2"/>
  <c r="C442" i="2"/>
  <c r="B442" i="2"/>
  <c r="B424" i="2"/>
  <c r="D424" i="2"/>
  <c r="C424" i="2"/>
  <c r="F424" i="2"/>
  <c r="F406" i="2"/>
  <c r="B406" i="2"/>
  <c r="D406" i="2"/>
  <c r="C406" i="2"/>
  <c r="F388" i="2"/>
  <c r="D388" i="2"/>
  <c r="C388" i="2"/>
  <c r="B388" i="2"/>
  <c r="D370" i="2"/>
  <c r="B370" i="2"/>
  <c r="C370" i="2"/>
  <c r="F370" i="2"/>
  <c r="F352" i="2"/>
  <c r="D352" i="2"/>
  <c r="B352" i="2"/>
  <c r="C352" i="2"/>
  <c r="F334" i="2"/>
  <c r="D334" i="2"/>
  <c r="B334" i="2"/>
  <c r="C334" i="2"/>
  <c r="D316" i="2"/>
  <c r="B316" i="2"/>
  <c r="C316" i="2"/>
  <c r="F316" i="2"/>
  <c r="F298" i="2"/>
  <c r="G298" i="2" s="1"/>
  <c r="D298" i="2"/>
  <c r="C298" i="2"/>
  <c r="B298" i="2"/>
  <c r="D168" i="2"/>
  <c r="H10" i="4"/>
  <c r="H35" i="4"/>
  <c r="H56" i="4"/>
  <c r="H77" i="4"/>
  <c r="H98" i="4"/>
  <c r="H119" i="4"/>
  <c r="H139" i="4"/>
  <c r="A11" i="4"/>
  <c r="F204" i="2"/>
  <c r="G204" i="2" s="1"/>
  <c r="F113" i="2"/>
  <c r="C222" i="2"/>
  <c r="F222" i="2"/>
  <c r="G222" i="2" s="1"/>
  <c r="F6" i="2"/>
  <c r="G6" i="2" s="1"/>
  <c r="F258" i="2"/>
  <c r="G258" i="2" s="1"/>
  <c r="F240" i="2"/>
  <c r="F275" i="2"/>
  <c r="G275" i="2" s="1"/>
  <c r="F77" i="2"/>
  <c r="G77" i="2" s="1"/>
  <c r="D204" i="2"/>
  <c r="F131" i="2"/>
  <c r="F149" i="2"/>
  <c r="F185" i="2"/>
  <c r="G185" i="2" s="1"/>
  <c r="F167" i="2"/>
  <c r="C275" i="2"/>
  <c r="D222" i="2"/>
  <c r="C185" i="2"/>
  <c r="D185" i="2"/>
  <c r="C167" i="2"/>
  <c r="D167" i="2"/>
  <c r="C6" i="2"/>
  <c r="D59" i="2"/>
  <c r="C131" i="2"/>
  <c r="B204" i="2"/>
  <c r="C59" i="2"/>
  <c r="D131" i="2"/>
  <c r="B6" i="2"/>
  <c r="D149" i="2"/>
  <c r="C149" i="2"/>
  <c r="B77" i="2"/>
  <c r="B222" i="2"/>
  <c r="B240" i="2"/>
  <c r="D240" i="2"/>
  <c r="B258" i="2"/>
  <c r="D258" i="2"/>
  <c r="C240" i="2"/>
  <c r="B275" i="2"/>
  <c r="C204" i="2"/>
  <c r="C258" i="2"/>
  <c r="D6" i="2"/>
  <c r="J48" i="7" l="1"/>
  <c r="H48" i="7"/>
  <c r="G49" i="7"/>
  <c r="A562" i="3"/>
  <c r="F150" i="2"/>
  <c r="G150" i="2" s="1"/>
  <c r="C60" i="2"/>
  <c r="D60" i="2"/>
  <c r="O51" i="9"/>
  <c r="P52" i="9"/>
  <c r="D96" i="2"/>
  <c r="C96" i="2"/>
  <c r="G240" i="2"/>
  <c r="F241" i="2"/>
  <c r="C150" i="2"/>
  <c r="D150" i="2"/>
  <c r="B241" i="2"/>
  <c r="C242" i="2" s="1"/>
  <c r="B276" i="2"/>
  <c r="D277" i="2" s="1"/>
  <c r="B205" i="2"/>
  <c r="D206" i="2" s="1"/>
  <c r="B223" i="2"/>
  <c r="D224" i="2" s="1"/>
  <c r="R28" i="4"/>
  <c r="T27" i="4"/>
  <c r="B53" i="9" s="1"/>
  <c r="S27" i="4"/>
  <c r="C53" i="9" s="1"/>
  <c r="M53" i="9" s="1"/>
  <c r="C168" i="2"/>
  <c r="B168" i="2"/>
  <c r="B150" i="2"/>
  <c r="D151" i="2" s="1"/>
  <c r="F533" i="2"/>
  <c r="D517" i="2"/>
  <c r="B517" i="2"/>
  <c r="C517" i="2"/>
  <c r="D533" i="2"/>
  <c r="C533" i="2"/>
  <c r="B533" i="2"/>
  <c r="F516" i="2"/>
  <c r="F497" i="2"/>
  <c r="C497" i="2"/>
  <c r="B497" i="2"/>
  <c r="D497" i="2"/>
  <c r="D479" i="2"/>
  <c r="C479" i="2"/>
  <c r="B479" i="2"/>
  <c r="F479" i="2"/>
  <c r="D443" i="2"/>
  <c r="C443" i="2"/>
  <c r="B443" i="2"/>
  <c r="F443" i="2"/>
  <c r="F461" i="2"/>
  <c r="C461" i="2"/>
  <c r="B461" i="2"/>
  <c r="D461" i="2"/>
  <c r="F425" i="2"/>
  <c r="C425" i="2"/>
  <c r="B425" i="2"/>
  <c r="D425" i="2"/>
  <c r="B407" i="2"/>
  <c r="D407" i="2"/>
  <c r="C407" i="2"/>
  <c r="F407" i="2"/>
  <c r="D389" i="2"/>
  <c r="C389" i="2"/>
  <c r="B389" i="2"/>
  <c r="F389" i="2"/>
  <c r="F371" i="2"/>
  <c r="C371" i="2"/>
  <c r="B371" i="2"/>
  <c r="D371" i="2"/>
  <c r="D353" i="2"/>
  <c r="C353" i="2"/>
  <c r="B353" i="2"/>
  <c r="F353" i="2"/>
  <c r="C335" i="2"/>
  <c r="D335" i="2"/>
  <c r="B335" i="2"/>
  <c r="F335" i="2"/>
  <c r="F317" i="2"/>
  <c r="C317" i="2"/>
  <c r="B317" i="2"/>
  <c r="D317" i="2"/>
  <c r="C299" i="2"/>
  <c r="D299" i="2"/>
  <c r="B299" i="2"/>
  <c r="F299" i="2"/>
  <c r="G299" i="2" s="1"/>
  <c r="F259" i="2"/>
  <c r="G259" i="2" s="1"/>
  <c r="C186" i="2"/>
  <c r="F168" i="2"/>
  <c r="G168" i="2" s="1"/>
  <c r="F223" i="2"/>
  <c r="F205" i="2"/>
  <c r="D186" i="2"/>
  <c r="H11" i="4"/>
  <c r="H36" i="4"/>
  <c r="H57" i="4"/>
  <c r="H78" i="4"/>
  <c r="H99" i="4"/>
  <c r="H120" i="4"/>
  <c r="H140" i="4"/>
  <c r="H157" i="4"/>
  <c r="A12" i="4"/>
  <c r="F7" i="2"/>
  <c r="F186" i="2"/>
  <c r="G186" i="2" s="1"/>
  <c r="F276" i="2"/>
  <c r="G276" i="2" s="1"/>
  <c r="F60" i="2"/>
  <c r="G60" i="2" s="1"/>
  <c r="F114" i="2"/>
  <c r="G114" i="2" s="1"/>
  <c r="F132" i="2"/>
  <c r="G132" i="2" s="1"/>
  <c r="F78" i="2"/>
  <c r="G78" i="2" s="1"/>
  <c r="F96" i="2"/>
  <c r="G96" i="2" s="1"/>
  <c r="C114" i="2"/>
  <c r="C241" i="2"/>
  <c r="B186" i="2"/>
  <c r="B78" i="2"/>
  <c r="B114" i="2"/>
  <c r="D115" i="2" s="1"/>
  <c r="C276" i="2"/>
  <c r="D276" i="2"/>
  <c r="B7" i="2"/>
  <c r="C78" i="2"/>
  <c r="D78" i="2"/>
  <c r="C132" i="2"/>
  <c r="C205" i="2"/>
  <c r="D132" i="2"/>
  <c r="D205" i="2"/>
  <c r="B132" i="2"/>
  <c r="D223" i="2"/>
  <c r="B60" i="2"/>
  <c r="B96" i="2"/>
  <c r="D114" i="2"/>
  <c r="D241" i="2"/>
  <c r="B259" i="2"/>
  <c r="D259" i="2"/>
  <c r="C259" i="2"/>
  <c r="C223" i="2"/>
  <c r="D7" i="2"/>
  <c r="C7" i="2"/>
  <c r="H49" i="7" l="1"/>
  <c r="J49" i="7"/>
  <c r="G50" i="7"/>
  <c r="A568" i="3"/>
  <c r="N52" i="9"/>
  <c r="O52" i="9"/>
  <c r="P53" i="9"/>
  <c r="G473" i="2"/>
  <c r="G296" i="2"/>
  <c r="G314" i="2"/>
  <c r="C97" i="2"/>
  <c r="D97" i="2"/>
  <c r="B518" i="2"/>
  <c r="C518" i="2"/>
  <c r="D518" i="2"/>
  <c r="D242" i="2"/>
  <c r="C206" i="2"/>
  <c r="C277" i="2"/>
  <c r="C169" i="2"/>
  <c r="D169" i="2"/>
  <c r="B169" i="2"/>
  <c r="C170" i="2" s="1"/>
  <c r="C151" i="2"/>
  <c r="C224" i="2"/>
  <c r="B277" i="2"/>
  <c r="C278" i="2" s="1"/>
  <c r="B242" i="2"/>
  <c r="B187" i="2"/>
  <c r="D188" i="2" s="1"/>
  <c r="B151" i="2"/>
  <c r="C152" i="2" s="1"/>
  <c r="B97" i="2"/>
  <c r="B224" i="2"/>
  <c r="D225" i="2" s="1"/>
  <c r="B133" i="2"/>
  <c r="D134" i="2" s="1"/>
  <c r="B115" i="2"/>
  <c r="D116" i="2" s="1"/>
  <c r="B79" i="2"/>
  <c r="D80" i="2" s="1"/>
  <c r="B206" i="2"/>
  <c r="D207" i="2" s="1"/>
  <c r="R29" i="4"/>
  <c r="T28" i="4"/>
  <c r="B54" i="9" s="1"/>
  <c r="S28" i="4"/>
  <c r="C54" i="9" s="1"/>
  <c r="M54" i="9" s="1"/>
  <c r="F517" i="2"/>
  <c r="F518" i="2" s="1"/>
  <c r="F519" i="2" s="1"/>
  <c r="F520" i="2" s="1"/>
  <c r="F521" i="2" s="1"/>
  <c r="F522" i="2" s="1"/>
  <c r="F523" i="2" s="1"/>
  <c r="F524" i="2" s="1"/>
  <c r="F525" i="2" s="1"/>
  <c r="D534" i="2"/>
  <c r="C534" i="2"/>
  <c r="B534" i="2"/>
  <c r="F534" i="2"/>
  <c r="C480" i="2"/>
  <c r="B480" i="2"/>
  <c r="D480" i="2"/>
  <c r="F480" i="2"/>
  <c r="C498" i="2"/>
  <c r="D498" i="2"/>
  <c r="B498" i="2"/>
  <c r="F498" i="2"/>
  <c r="D462" i="2"/>
  <c r="C462" i="2"/>
  <c r="B462" i="2"/>
  <c r="F462" i="2"/>
  <c r="F444" i="2"/>
  <c r="B444" i="2"/>
  <c r="D444" i="2"/>
  <c r="C444" i="2"/>
  <c r="D426" i="2"/>
  <c r="C426" i="2"/>
  <c r="B426" i="2"/>
  <c r="F426" i="2"/>
  <c r="F408" i="2"/>
  <c r="D408" i="2"/>
  <c r="C408" i="2"/>
  <c r="B408" i="2"/>
  <c r="F390" i="2"/>
  <c r="D390" i="2"/>
  <c r="C390" i="2"/>
  <c r="B390" i="2"/>
  <c r="D372" i="2"/>
  <c r="C372" i="2"/>
  <c r="B372" i="2"/>
  <c r="F372" i="2"/>
  <c r="F354" i="2"/>
  <c r="D354" i="2"/>
  <c r="C354" i="2"/>
  <c r="B354" i="2"/>
  <c r="F336" i="2"/>
  <c r="D336" i="2"/>
  <c r="C336" i="2"/>
  <c r="B336" i="2"/>
  <c r="F318" i="2"/>
  <c r="D318" i="2"/>
  <c r="B318" i="2"/>
  <c r="C318" i="2"/>
  <c r="F300" i="2"/>
  <c r="D300" i="2"/>
  <c r="C300" i="2"/>
  <c r="B300" i="2"/>
  <c r="D61" i="2"/>
  <c r="F277" i="2"/>
  <c r="F260" i="2"/>
  <c r="F242" i="2"/>
  <c r="G242" i="2" s="1"/>
  <c r="F97" i="2"/>
  <c r="G97" i="2" s="1"/>
  <c r="F79" i="2"/>
  <c r="G79" i="2" s="1"/>
  <c r="F206" i="2"/>
  <c r="G206" i="2" s="1"/>
  <c r="F133" i="2"/>
  <c r="G133" i="2" s="1"/>
  <c r="F115" i="2"/>
  <c r="G115" i="2" s="1"/>
  <c r="F61" i="2"/>
  <c r="G61" i="2" s="1"/>
  <c r="F151" i="2"/>
  <c r="G151" i="2" s="1"/>
  <c r="F224" i="2"/>
  <c r="G224" i="2" s="1"/>
  <c r="F169" i="2"/>
  <c r="G169" i="2" s="1"/>
  <c r="F187" i="2"/>
  <c r="H12" i="4"/>
  <c r="H37" i="4"/>
  <c r="H58" i="4"/>
  <c r="H79" i="4"/>
  <c r="H100" i="4"/>
  <c r="H121" i="4"/>
  <c r="H141" i="4"/>
  <c r="H158" i="4"/>
  <c r="H174" i="4"/>
  <c r="H190" i="4"/>
  <c r="H206" i="4"/>
  <c r="A13" i="4"/>
  <c r="F8" i="2"/>
  <c r="C187" i="2"/>
  <c r="D187" i="2"/>
  <c r="D79" i="2"/>
  <c r="C79" i="2"/>
  <c r="C61" i="2"/>
  <c r="C115" i="2"/>
  <c r="B8" i="2"/>
  <c r="D133" i="2"/>
  <c r="B61" i="2"/>
  <c r="C133" i="2"/>
  <c r="B260" i="2"/>
  <c r="D260" i="2"/>
  <c r="C260" i="2"/>
  <c r="D8" i="2"/>
  <c r="C8" i="2"/>
  <c r="J50" i="7" l="1"/>
  <c r="H50" i="7"/>
  <c r="G51" i="7"/>
  <c r="A574" i="3"/>
  <c r="N53" i="9"/>
  <c r="O53" i="9"/>
  <c r="P54" i="9"/>
  <c r="G260" i="2"/>
  <c r="D98" i="2"/>
  <c r="C98" i="2"/>
  <c r="C519" i="2"/>
  <c r="D519" i="2"/>
  <c r="B519" i="2"/>
  <c r="D170" i="2"/>
  <c r="C225" i="2"/>
  <c r="C188" i="2"/>
  <c r="D278" i="2"/>
  <c r="C116" i="2"/>
  <c r="D152" i="2"/>
  <c r="B170" i="2"/>
  <c r="B171" i="2" s="1"/>
  <c r="C80" i="2"/>
  <c r="C207" i="2"/>
  <c r="B243" i="2"/>
  <c r="D243" i="2"/>
  <c r="C243" i="2"/>
  <c r="B278" i="2"/>
  <c r="D279" i="2" s="1"/>
  <c r="B134" i="2"/>
  <c r="D135" i="2" s="1"/>
  <c r="B225" i="2"/>
  <c r="C226" i="2" s="1"/>
  <c r="B98" i="2"/>
  <c r="B207" i="2"/>
  <c r="C208" i="2" s="1"/>
  <c r="B80" i="2"/>
  <c r="B152" i="2"/>
  <c r="D153" i="2" s="1"/>
  <c r="C134" i="2"/>
  <c r="B116" i="2"/>
  <c r="D117" i="2" s="1"/>
  <c r="B188" i="2"/>
  <c r="C189" i="2" s="1"/>
  <c r="R30" i="4"/>
  <c r="T30" i="4" s="1"/>
  <c r="B56" i="9" s="1"/>
  <c r="S29" i="4"/>
  <c r="C55" i="9" s="1"/>
  <c r="M55" i="9" s="1"/>
  <c r="T29" i="4"/>
  <c r="B55" i="9" s="1"/>
  <c r="F9" i="2"/>
  <c r="F535" i="2"/>
  <c r="F536" i="2" s="1"/>
  <c r="F537" i="2" s="1"/>
  <c r="F538" i="2" s="1"/>
  <c r="F539" i="2" s="1"/>
  <c r="F540" i="2" s="1"/>
  <c r="F541" i="2" s="1"/>
  <c r="F542" i="2" s="1"/>
  <c r="F543" i="2" s="1"/>
  <c r="D535" i="2"/>
  <c r="C535" i="2"/>
  <c r="B535" i="2"/>
  <c r="D499" i="2"/>
  <c r="C499" i="2"/>
  <c r="B499" i="2"/>
  <c r="F499" i="2"/>
  <c r="F500" i="2" s="1"/>
  <c r="F501" i="2" s="1"/>
  <c r="F502" i="2" s="1"/>
  <c r="F503" i="2" s="1"/>
  <c r="F504" i="2" s="1"/>
  <c r="F505" i="2" s="1"/>
  <c r="F506" i="2" s="1"/>
  <c r="F507" i="2" s="1"/>
  <c r="F481" i="2"/>
  <c r="F482" i="2" s="1"/>
  <c r="F483" i="2" s="1"/>
  <c r="F484" i="2" s="1"/>
  <c r="F485" i="2" s="1"/>
  <c r="F486" i="2" s="1"/>
  <c r="F487" i="2" s="1"/>
  <c r="F488" i="2" s="1"/>
  <c r="F489" i="2" s="1"/>
  <c r="D481" i="2"/>
  <c r="C481" i="2"/>
  <c r="B481" i="2"/>
  <c r="D445" i="2"/>
  <c r="C445" i="2"/>
  <c r="B445" i="2"/>
  <c r="F445" i="2"/>
  <c r="F446" i="2" s="1"/>
  <c r="F447" i="2" s="1"/>
  <c r="F448" i="2" s="1"/>
  <c r="F449" i="2" s="1"/>
  <c r="F450" i="2" s="1"/>
  <c r="F451" i="2" s="1"/>
  <c r="F452" i="2" s="1"/>
  <c r="F453" i="2" s="1"/>
  <c r="F463" i="2"/>
  <c r="F464" i="2" s="1"/>
  <c r="F465" i="2" s="1"/>
  <c r="F466" i="2" s="1"/>
  <c r="F467" i="2" s="1"/>
  <c r="F468" i="2" s="1"/>
  <c r="F469" i="2" s="1"/>
  <c r="F470" i="2" s="1"/>
  <c r="F471" i="2" s="1"/>
  <c r="C463" i="2"/>
  <c r="B463" i="2"/>
  <c r="D463" i="2"/>
  <c r="F427" i="2"/>
  <c r="F428" i="2" s="1"/>
  <c r="F429" i="2" s="1"/>
  <c r="F430" i="2" s="1"/>
  <c r="F431" i="2" s="1"/>
  <c r="F432" i="2" s="1"/>
  <c r="F433" i="2" s="1"/>
  <c r="F434" i="2" s="1"/>
  <c r="F435" i="2" s="1"/>
  <c r="D427" i="2"/>
  <c r="C427" i="2"/>
  <c r="B427" i="2"/>
  <c r="D409" i="2"/>
  <c r="C409" i="2"/>
  <c r="B409" i="2"/>
  <c r="F409" i="2"/>
  <c r="F410" i="2" s="1"/>
  <c r="F411" i="2" s="1"/>
  <c r="F412" i="2" s="1"/>
  <c r="F413" i="2" s="1"/>
  <c r="F414" i="2" s="1"/>
  <c r="F415" i="2" s="1"/>
  <c r="F416" i="2" s="1"/>
  <c r="F417" i="2" s="1"/>
  <c r="F391" i="2"/>
  <c r="F392" i="2" s="1"/>
  <c r="F393" i="2" s="1"/>
  <c r="F394" i="2" s="1"/>
  <c r="F395" i="2" s="1"/>
  <c r="F396" i="2" s="1"/>
  <c r="F397" i="2" s="1"/>
  <c r="F398" i="2" s="1"/>
  <c r="F399" i="2" s="1"/>
  <c r="D391" i="2"/>
  <c r="C391" i="2"/>
  <c r="B391" i="2"/>
  <c r="F373" i="2"/>
  <c r="F374" i="2" s="1"/>
  <c r="F375" i="2" s="1"/>
  <c r="F376" i="2" s="1"/>
  <c r="F377" i="2" s="1"/>
  <c r="F378" i="2" s="1"/>
  <c r="F379" i="2" s="1"/>
  <c r="F380" i="2" s="1"/>
  <c r="F381" i="2" s="1"/>
  <c r="D373" i="2"/>
  <c r="C373" i="2"/>
  <c r="B373" i="2"/>
  <c r="F355" i="2"/>
  <c r="F356" i="2" s="1"/>
  <c r="F357" i="2" s="1"/>
  <c r="F358" i="2" s="1"/>
  <c r="F359" i="2" s="1"/>
  <c r="F360" i="2" s="1"/>
  <c r="F361" i="2" s="1"/>
  <c r="F362" i="2" s="1"/>
  <c r="F363" i="2" s="1"/>
  <c r="D355" i="2"/>
  <c r="C355" i="2"/>
  <c r="B355" i="2"/>
  <c r="D337" i="2"/>
  <c r="C337" i="2"/>
  <c r="B337" i="2"/>
  <c r="F337" i="2"/>
  <c r="F338" i="2" s="1"/>
  <c r="F339" i="2" s="1"/>
  <c r="F340" i="2" s="1"/>
  <c r="F341" i="2" s="1"/>
  <c r="F342" i="2" s="1"/>
  <c r="F343" i="2" s="1"/>
  <c r="F344" i="2" s="1"/>
  <c r="F345" i="2" s="1"/>
  <c r="D319" i="2"/>
  <c r="C319" i="2"/>
  <c r="B319" i="2"/>
  <c r="F319" i="2"/>
  <c r="F320" i="2" s="1"/>
  <c r="F321" i="2" s="1"/>
  <c r="F322" i="2" s="1"/>
  <c r="F323" i="2" s="1"/>
  <c r="F324" i="2" s="1"/>
  <c r="F325" i="2" s="1"/>
  <c r="F326" i="2" s="1"/>
  <c r="F327" i="2" s="1"/>
  <c r="D301" i="2"/>
  <c r="C301" i="2"/>
  <c r="B301" i="2"/>
  <c r="F301" i="2"/>
  <c r="F302" i="2" s="1"/>
  <c r="F303" i="2" s="1"/>
  <c r="F304" i="2" s="1"/>
  <c r="F305" i="2" s="1"/>
  <c r="F306" i="2" s="1"/>
  <c r="F307" i="2" s="1"/>
  <c r="F308" i="2" s="1"/>
  <c r="F309" i="2" s="1"/>
  <c r="F243" i="2"/>
  <c r="G243" i="2" s="1"/>
  <c r="B62" i="2"/>
  <c r="F261" i="2"/>
  <c r="F278" i="2"/>
  <c r="G278" i="2" s="1"/>
  <c r="F116" i="2"/>
  <c r="G116" i="2" s="1"/>
  <c r="F188" i="2"/>
  <c r="F170" i="2"/>
  <c r="G170" i="2" s="1"/>
  <c r="F134" i="2"/>
  <c r="G134" i="2" s="1"/>
  <c r="F225" i="2"/>
  <c r="F207" i="2"/>
  <c r="F152" i="2"/>
  <c r="G152" i="2" s="1"/>
  <c r="F80" i="2"/>
  <c r="F62" i="2"/>
  <c r="G62" i="2" s="1"/>
  <c r="F98" i="2"/>
  <c r="G98" i="2" s="1"/>
  <c r="H13" i="4"/>
  <c r="H38" i="4"/>
  <c r="H59" i="4"/>
  <c r="H80" i="4"/>
  <c r="H101" i="4"/>
  <c r="H122" i="4"/>
  <c r="H142" i="4"/>
  <c r="H159" i="4"/>
  <c r="H175" i="4"/>
  <c r="H191" i="4"/>
  <c r="H207" i="4"/>
  <c r="A14" i="4"/>
  <c r="H236" i="4" s="1"/>
  <c r="G7" i="2"/>
  <c r="B9" i="2"/>
  <c r="C62" i="2"/>
  <c r="D62" i="2"/>
  <c r="B261" i="2"/>
  <c r="D261" i="2"/>
  <c r="C261" i="2"/>
  <c r="D9" i="2"/>
  <c r="C9" i="2"/>
  <c r="J51" i="7" l="1"/>
  <c r="H51" i="7"/>
  <c r="G52" i="7"/>
  <c r="A580" i="3"/>
  <c r="N54" i="9"/>
  <c r="O54" i="9"/>
  <c r="P55" i="9"/>
  <c r="C99" i="2"/>
  <c r="D99" i="2"/>
  <c r="B536" i="2"/>
  <c r="C536" i="2"/>
  <c r="D536" i="2"/>
  <c r="D520" i="2"/>
  <c r="B520" i="2"/>
  <c r="C520" i="2"/>
  <c r="B500" i="2"/>
  <c r="C500" i="2"/>
  <c r="D500" i="2"/>
  <c r="C482" i="2"/>
  <c r="B482" i="2"/>
  <c r="D482" i="2"/>
  <c r="B464" i="2"/>
  <c r="C464" i="2"/>
  <c r="D464" i="2"/>
  <c r="B446" i="2"/>
  <c r="C446" i="2"/>
  <c r="D446" i="2"/>
  <c r="B428" i="2"/>
  <c r="C428" i="2"/>
  <c r="D428" i="2"/>
  <c r="C410" i="2"/>
  <c r="B410" i="2"/>
  <c r="D410" i="2"/>
  <c r="B392" i="2"/>
  <c r="C392" i="2"/>
  <c r="D392" i="2"/>
  <c r="B374" i="2"/>
  <c r="C374" i="2"/>
  <c r="D374" i="2"/>
  <c r="B356" i="2"/>
  <c r="C356" i="2"/>
  <c r="D356" i="2"/>
  <c r="B338" i="2"/>
  <c r="C338" i="2"/>
  <c r="D338" i="2"/>
  <c r="B320" i="2"/>
  <c r="C320" i="2"/>
  <c r="D320" i="2"/>
  <c r="C302" i="2"/>
  <c r="B302" i="2"/>
  <c r="D302" i="2"/>
  <c r="D226" i="2"/>
  <c r="C117" i="2"/>
  <c r="C171" i="2"/>
  <c r="D171" i="2"/>
  <c r="C279" i="2"/>
  <c r="C153" i="2"/>
  <c r="C135" i="2"/>
  <c r="D189" i="2"/>
  <c r="B279" i="2"/>
  <c r="D280" i="2" s="1"/>
  <c r="B244" i="2"/>
  <c r="D244" i="2"/>
  <c r="C244" i="2"/>
  <c r="B172" i="2"/>
  <c r="D63" i="2"/>
  <c r="B208" i="2"/>
  <c r="D209" i="2" s="1"/>
  <c r="B81" i="2"/>
  <c r="C82" i="2" s="1"/>
  <c r="B189" i="2"/>
  <c r="C190" i="2" s="1"/>
  <c r="B117" i="2"/>
  <c r="D118" i="2" s="1"/>
  <c r="B99" i="2"/>
  <c r="B226" i="2"/>
  <c r="C227" i="2" s="1"/>
  <c r="D81" i="2"/>
  <c r="B153" i="2"/>
  <c r="C154" i="2" s="1"/>
  <c r="C81" i="2"/>
  <c r="D208" i="2"/>
  <c r="B135" i="2"/>
  <c r="R31" i="4"/>
  <c r="B1" i="3"/>
  <c r="S30" i="4"/>
  <c r="C56" i="9" s="1"/>
  <c r="M56" i="9" s="1"/>
  <c r="C63" i="2"/>
  <c r="F10" i="2"/>
  <c r="G10" i="2" s="1"/>
  <c r="F279" i="2"/>
  <c r="G279" i="2" s="1"/>
  <c r="F262" i="2"/>
  <c r="B63" i="2"/>
  <c r="F244" i="2"/>
  <c r="F226" i="2"/>
  <c r="F99" i="2"/>
  <c r="F135" i="2"/>
  <c r="F63" i="2"/>
  <c r="F171" i="2"/>
  <c r="F208" i="2"/>
  <c r="F81" i="2"/>
  <c r="F189" i="2"/>
  <c r="F153" i="2"/>
  <c r="F117" i="2"/>
  <c r="H39" i="4"/>
  <c r="H14" i="4"/>
  <c r="H60" i="4"/>
  <c r="H81" i="4"/>
  <c r="H102" i="4"/>
  <c r="H123" i="4"/>
  <c r="H143" i="4"/>
  <c r="H160" i="4"/>
  <c r="H176" i="4"/>
  <c r="H192" i="4"/>
  <c r="H208" i="4"/>
  <c r="H222" i="4"/>
  <c r="A15" i="4"/>
  <c r="B10" i="2"/>
  <c r="B262" i="2"/>
  <c r="D262" i="2"/>
  <c r="C262" i="2"/>
  <c r="D172" i="2"/>
  <c r="C172" i="2"/>
  <c r="C10" i="2"/>
  <c r="D10" i="2"/>
  <c r="D22" i="2"/>
  <c r="C22" i="2"/>
  <c r="H52" i="7" l="1"/>
  <c r="J52" i="7"/>
  <c r="G53" i="7"/>
  <c r="D482" i="3"/>
  <c r="B28" i="3"/>
  <c r="D451" i="3" s="1"/>
  <c r="A586" i="3"/>
  <c r="T40" i="2"/>
  <c r="T436" i="2"/>
  <c r="T443" i="2"/>
  <c r="T437" i="2"/>
  <c r="T446" i="2"/>
  <c r="T445" i="2"/>
  <c r="T439" i="2"/>
  <c r="T438" i="2"/>
  <c r="T440" i="2"/>
  <c r="T441" i="2"/>
  <c r="T444" i="2"/>
  <c r="T442" i="2"/>
  <c r="T531" i="2"/>
  <c r="T519" i="2"/>
  <c r="T495" i="2"/>
  <c r="T459" i="2"/>
  <c r="T530" i="2"/>
  <c r="T518" i="2"/>
  <c r="T494" i="2"/>
  <c r="T482" i="2"/>
  <c r="T458" i="2"/>
  <c r="T529" i="2"/>
  <c r="T517" i="2"/>
  <c r="T493" i="2"/>
  <c r="T481" i="2"/>
  <c r="T457" i="2"/>
  <c r="T509" i="2"/>
  <c r="T528" i="2"/>
  <c r="T516" i="2"/>
  <c r="T492" i="2"/>
  <c r="T480" i="2"/>
  <c r="T456" i="2"/>
  <c r="T527" i="2"/>
  <c r="T515" i="2"/>
  <c r="T491" i="2"/>
  <c r="T479" i="2"/>
  <c r="T455" i="2"/>
  <c r="T473" i="2"/>
  <c r="T526" i="2"/>
  <c r="T514" i="2"/>
  <c r="T490" i="2"/>
  <c r="T478" i="2"/>
  <c r="T454" i="2"/>
  <c r="T497" i="2"/>
  <c r="T513" i="2"/>
  <c r="T477" i="2"/>
  <c r="T536" i="2"/>
  <c r="T512" i="2"/>
  <c r="T500" i="2"/>
  <c r="T476" i="2"/>
  <c r="T464" i="2"/>
  <c r="T534" i="2"/>
  <c r="T510" i="2"/>
  <c r="T498" i="2"/>
  <c r="T474" i="2"/>
  <c r="T462" i="2"/>
  <c r="T533" i="2"/>
  <c r="T532" i="2"/>
  <c r="T535" i="2"/>
  <c r="T511" i="2"/>
  <c r="T499" i="2"/>
  <c r="T475" i="2"/>
  <c r="T463" i="2"/>
  <c r="T461" i="2"/>
  <c r="T520" i="2"/>
  <c r="T508" i="2"/>
  <c r="T496" i="2"/>
  <c r="T472" i="2"/>
  <c r="T460" i="2"/>
  <c r="C118" i="2"/>
  <c r="T426" i="2"/>
  <c r="T420" i="2"/>
  <c r="T408" i="2"/>
  <c r="T402" i="2"/>
  <c r="T403" i="2"/>
  <c r="T409" i="2"/>
  <c r="T425" i="2"/>
  <c r="T419" i="2"/>
  <c r="T407" i="2"/>
  <c r="T401" i="2"/>
  <c r="T404" i="2"/>
  <c r="T424" i="2"/>
  <c r="T418" i="2"/>
  <c r="T406" i="2"/>
  <c r="T400" i="2"/>
  <c r="T410" i="2"/>
  <c r="T423" i="2"/>
  <c r="T405" i="2"/>
  <c r="T421" i="2"/>
  <c r="T422" i="2"/>
  <c r="T388" i="2"/>
  <c r="T382" i="2"/>
  <c r="T387" i="2"/>
  <c r="T386" i="2"/>
  <c r="T385" i="2"/>
  <c r="T383" i="2"/>
  <c r="T384" i="2"/>
  <c r="T4" i="2"/>
  <c r="N55" i="9"/>
  <c r="O55" i="9"/>
  <c r="G494" i="2"/>
  <c r="G187" i="2"/>
  <c r="T5" i="2"/>
  <c r="T262" i="2"/>
  <c r="T256" i="2"/>
  <c r="T261" i="2"/>
  <c r="T260" i="2"/>
  <c r="T259" i="2"/>
  <c r="T258" i="2"/>
  <c r="T257" i="2"/>
  <c r="T220" i="2"/>
  <c r="T221" i="2"/>
  <c r="T222" i="2"/>
  <c r="T223" i="2"/>
  <c r="T224" i="2"/>
  <c r="C100" i="2"/>
  <c r="D100" i="2"/>
  <c r="C537" i="2"/>
  <c r="D537" i="2"/>
  <c r="B537" i="2"/>
  <c r="T537" i="2" s="1"/>
  <c r="D521" i="2"/>
  <c r="C521" i="2"/>
  <c r="B521" i="2"/>
  <c r="T521" i="2" s="1"/>
  <c r="C501" i="2"/>
  <c r="D501" i="2"/>
  <c r="B501" i="2"/>
  <c r="T501" i="2" s="1"/>
  <c r="C483" i="2"/>
  <c r="D483" i="2"/>
  <c r="B483" i="2"/>
  <c r="T483" i="2" s="1"/>
  <c r="C465" i="2"/>
  <c r="D465" i="2"/>
  <c r="B465" i="2"/>
  <c r="T465" i="2" s="1"/>
  <c r="C447" i="2"/>
  <c r="B447" i="2"/>
  <c r="T447" i="2" s="1"/>
  <c r="D447" i="2"/>
  <c r="C429" i="2"/>
  <c r="B429" i="2"/>
  <c r="T429" i="2" s="1"/>
  <c r="D429" i="2"/>
  <c r="C411" i="2"/>
  <c r="D411" i="2"/>
  <c r="B411" i="2"/>
  <c r="T411" i="2" s="1"/>
  <c r="C393" i="2"/>
  <c r="D393" i="2"/>
  <c r="B393" i="2"/>
  <c r="T393" i="2" s="1"/>
  <c r="B375" i="2"/>
  <c r="T375" i="2" s="1"/>
  <c r="C375" i="2"/>
  <c r="D375" i="2"/>
  <c r="C357" i="2"/>
  <c r="D357" i="2"/>
  <c r="B357" i="2"/>
  <c r="T357" i="2" s="1"/>
  <c r="B339" i="2"/>
  <c r="T339" i="2" s="1"/>
  <c r="C339" i="2"/>
  <c r="D339" i="2"/>
  <c r="C321" i="2"/>
  <c r="B321" i="2"/>
  <c r="T321" i="2" s="1"/>
  <c r="D321" i="2"/>
  <c r="C303" i="2"/>
  <c r="B303" i="2"/>
  <c r="T303" i="2" s="1"/>
  <c r="D303" i="2"/>
  <c r="A4" i="2"/>
  <c r="A302" i="2"/>
  <c r="T302" i="2"/>
  <c r="A303" i="2"/>
  <c r="A304" i="2"/>
  <c r="A305" i="2"/>
  <c r="A306" i="2"/>
  <c r="A307" i="2"/>
  <c r="A308" i="2"/>
  <c r="A309" i="2"/>
  <c r="A320" i="2"/>
  <c r="T320" i="2"/>
  <c r="A321" i="2"/>
  <c r="A322" i="2"/>
  <c r="A323" i="2"/>
  <c r="A324" i="2"/>
  <c r="A325" i="2"/>
  <c r="A326" i="2"/>
  <c r="A327" i="2"/>
  <c r="A338" i="2"/>
  <c r="T338" i="2"/>
  <c r="A339" i="2"/>
  <c r="A340" i="2"/>
  <c r="A341" i="2"/>
  <c r="A342" i="2"/>
  <c r="A343" i="2"/>
  <c r="A344" i="2"/>
  <c r="A345" i="2"/>
  <c r="A356" i="2"/>
  <c r="T356" i="2"/>
  <c r="A357" i="2"/>
  <c r="A358" i="2"/>
  <c r="A359" i="2"/>
  <c r="A360" i="2"/>
  <c r="A361" i="2"/>
  <c r="A362" i="2"/>
  <c r="A363" i="2"/>
  <c r="A374" i="2"/>
  <c r="T374" i="2"/>
  <c r="A375" i="2"/>
  <c r="A376" i="2"/>
  <c r="A377" i="2"/>
  <c r="A378" i="2"/>
  <c r="A379" i="2"/>
  <c r="A380" i="2"/>
  <c r="A381" i="2"/>
  <c r="A392" i="2"/>
  <c r="T392" i="2"/>
  <c r="A393" i="2"/>
  <c r="A394" i="2"/>
  <c r="A395" i="2"/>
  <c r="A396" i="2"/>
  <c r="A397" i="2"/>
  <c r="A398" i="2"/>
  <c r="A399" i="2"/>
  <c r="A410" i="2"/>
  <c r="A411" i="2"/>
  <c r="A412" i="2"/>
  <c r="A413" i="2"/>
  <c r="A414" i="2"/>
  <c r="A415" i="2"/>
  <c r="A416" i="2"/>
  <c r="A417" i="2"/>
  <c r="A428" i="2"/>
  <c r="T428" i="2"/>
  <c r="A429" i="2"/>
  <c r="A430" i="2"/>
  <c r="A431" i="2"/>
  <c r="A432" i="2"/>
  <c r="A433" i="2"/>
  <c r="A434" i="2"/>
  <c r="A435" i="2"/>
  <c r="A446" i="2"/>
  <c r="A447" i="2"/>
  <c r="A448" i="2"/>
  <c r="A449" i="2"/>
  <c r="A450" i="2"/>
  <c r="A451" i="2"/>
  <c r="A452" i="2"/>
  <c r="A453" i="2"/>
  <c r="A464" i="2"/>
  <c r="A465" i="2"/>
  <c r="A466" i="2"/>
  <c r="A467" i="2"/>
  <c r="A468" i="2"/>
  <c r="A469" i="2"/>
  <c r="A470" i="2"/>
  <c r="A471" i="2"/>
  <c r="A482" i="2"/>
  <c r="A483" i="2"/>
  <c r="A484" i="2"/>
  <c r="A485" i="2"/>
  <c r="A486" i="2"/>
  <c r="A487" i="2"/>
  <c r="A488" i="2"/>
  <c r="A489" i="2"/>
  <c r="A500" i="2"/>
  <c r="A501" i="2"/>
  <c r="A502" i="2"/>
  <c r="A503" i="2"/>
  <c r="A504" i="2"/>
  <c r="A505" i="2"/>
  <c r="A506" i="2"/>
  <c r="A507" i="2"/>
  <c r="A518" i="2"/>
  <c r="A519" i="2"/>
  <c r="A520" i="2"/>
  <c r="A521" i="2"/>
  <c r="A522" i="2"/>
  <c r="A523" i="2"/>
  <c r="A524" i="2"/>
  <c r="A525" i="2"/>
  <c r="A536" i="2"/>
  <c r="A537" i="2"/>
  <c r="A538" i="2"/>
  <c r="A539" i="2"/>
  <c r="A540" i="2"/>
  <c r="A541" i="2"/>
  <c r="A542" i="2"/>
  <c r="A543" i="2"/>
  <c r="D190" i="2"/>
  <c r="C280" i="2"/>
  <c r="D82" i="2"/>
  <c r="A301" i="2"/>
  <c r="A278" i="2"/>
  <c r="T152" i="2"/>
  <c r="A373" i="2"/>
  <c r="A535" i="2"/>
  <c r="A188" i="2"/>
  <c r="T80" i="2"/>
  <c r="T278" i="2"/>
  <c r="A499" i="2"/>
  <c r="A427" i="2"/>
  <c r="T319" i="2"/>
  <c r="A98" i="2"/>
  <c r="A9" i="2"/>
  <c r="T355" i="2"/>
  <c r="A152" i="2"/>
  <c r="A80" i="2"/>
  <c r="A409" i="2"/>
  <c r="T243" i="2"/>
  <c r="T207" i="2"/>
  <c r="T301" i="2"/>
  <c r="A134" i="2"/>
  <c r="A207" i="2"/>
  <c r="T62" i="2"/>
  <c r="A355" i="2"/>
  <c r="T293" i="2"/>
  <c r="T346" i="2"/>
  <c r="T365" i="2"/>
  <c r="T329" i="2"/>
  <c r="T292" i="2"/>
  <c r="T347" i="2"/>
  <c r="T364" i="2"/>
  <c r="T328" i="2"/>
  <c r="A490" i="2"/>
  <c r="A311" i="2"/>
  <c r="A419" i="2"/>
  <c r="A474" i="2"/>
  <c r="A312" i="2"/>
  <c r="A348" i="2"/>
  <c r="T366" i="2"/>
  <c r="A418" i="2"/>
  <c r="A438" i="2"/>
  <c r="A437" i="2"/>
  <c r="A382" i="2"/>
  <c r="A473" i="2"/>
  <c r="A294" i="2"/>
  <c r="A346" i="2"/>
  <c r="A365" i="2"/>
  <c r="A292" i="2"/>
  <c r="T202" i="2"/>
  <c r="A420" i="2"/>
  <c r="T330" i="2"/>
  <c r="A310" i="2"/>
  <c r="A329" i="2"/>
  <c r="A330" i="2"/>
  <c r="A293" i="2"/>
  <c r="A454" i="2"/>
  <c r="A455" i="2"/>
  <c r="A384" i="2"/>
  <c r="A364" i="2"/>
  <c r="A401" i="2"/>
  <c r="A472" i="2"/>
  <c r="A347" i="2"/>
  <c r="A511" i="2"/>
  <c r="A456" i="2"/>
  <c r="A366" i="2"/>
  <c r="A528" i="2"/>
  <c r="A436" i="2"/>
  <c r="A491" i="2"/>
  <c r="A400" i="2"/>
  <c r="A383" i="2"/>
  <c r="B27" i="3"/>
  <c r="D27" i="3" s="1"/>
  <c r="A492" i="2"/>
  <c r="T58" i="2"/>
  <c r="A527" i="2"/>
  <c r="A328" i="2"/>
  <c r="A510" i="2"/>
  <c r="A402" i="2"/>
  <c r="A509" i="2"/>
  <c r="T294" i="2"/>
  <c r="A508" i="2"/>
  <c r="A526" i="2"/>
  <c r="A22" i="2"/>
  <c r="T348" i="2"/>
  <c r="T331" i="2"/>
  <c r="A512" i="2"/>
  <c r="A367" i="2"/>
  <c r="A475" i="2"/>
  <c r="A349" i="2"/>
  <c r="A313" i="2"/>
  <c r="A295" i="2"/>
  <c r="T184" i="2"/>
  <c r="A457" i="2"/>
  <c r="A202" i="2"/>
  <c r="T76" i="2"/>
  <c r="T130" i="2"/>
  <c r="T112" i="2"/>
  <c r="A439" i="2"/>
  <c r="A421" i="2"/>
  <c r="T166" i="2"/>
  <c r="T238" i="2"/>
  <c r="A256" i="2"/>
  <c r="A385" i="2"/>
  <c r="A220" i="2"/>
  <c r="T367" i="2"/>
  <c r="T148" i="2"/>
  <c r="A238" i="2"/>
  <c r="A331" i="2"/>
  <c r="A403" i="2"/>
  <c r="T274" i="2"/>
  <c r="A40" i="2"/>
  <c r="A493" i="2"/>
  <c r="T349" i="2"/>
  <c r="T295" i="2"/>
  <c r="A529" i="2"/>
  <c r="T94" i="2"/>
  <c r="A148" i="2"/>
  <c r="A513" i="2"/>
  <c r="A296" i="2"/>
  <c r="A476" i="2"/>
  <c r="A368" i="2"/>
  <c r="A332" i="2"/>
  <c r="A112" i="2"/>
  <c r="A58" i="2"/>
  <c r="A184" i="2"/>
  <c r="T332" i="2"/>
  <c r="T296" i="2"/>
  <c r="T368" i="2"/>
  <c r="A458" i="2"/>
  <c r="A94" i="2"/>
  <c r="A530" i="2"/>
  <c r="A494" i="2"/>
  <c r="A440" i="2"/>
  <c r="A314" i="2"/>
  <c r="A274" i="2"/>
  <c r="A422" i="2"/>
  <c r="A404" i="2"/>
  <c r="A350" i="2"/>
  <c r="A130" i="2"/>
  <c r="A76" i="2"/>
  <c r="T350" i="2"/>
  <c r="A386" i="2"/>
  <c r="A166" i="2"/>
  <c r="T297" i="2"/>
  <c r="A5" i="2"/>
  <c r="A514" i="2"/>
  <c r="A441" i="2"/>
  <c r="A369" i="2"/>
  <c r="A351" i="2"/>
  <c r="T167" i="2"/>
  <c r="T131" i="2"/>
  <c r="T149" i="2"/>
  <c r="A315" i="2"/>
  <c r="T239" i="2"/>
  <c r="T59" i="2"/>
  <c r="A423" i="2"/>
  <c r="T185" i="2"/>
  <c r="A257" i="2"/>
  <c r="T203" i="2"/>
  <c r="A239" i="2"/>
  <c r="A203" i="2"/>
  <c r="T333" i="2"/>
  <c r="A495" i="2"/>
  <c r="A387" i="2"/>
  <c r="A459" i="2"/>
  <c r="T369" i="2"/>
  <c r="A297" i="2"/>
  <c r="A531" i="2"/>
  <c r="T113" i="2"/>
  <c r="A477" i="2"/>
  <c r="A95" i="2"/>
  <c r="A333" i="2"/>
  <c r="A405" i="2"/>
  <c r="A221" i="2"/>
  <c r="T351" i="2"/>
  <c r="T370" i="2"/>
  <c r="A131" i="2"/>
  <c r="A167" i="2"/>
  <c r="A424" i="2"/>
  <c r="A352" i="2"/>
  <c r="A478" i="2"/>
  <c r="T6" i="2"/>
  <c r="T334" i="2"/>
  <c r="A222" i="2"/>
  <c r="A388" i="2"/>
  <c r="A370" i="2"/>
  <c r="A298" i="2"/>
  <c r="T77" i="2"/>
  <c r="A515" i="2"/>
  <c r="A204" i="2"/>
  <c r="T95" i="2"/>
  <c r="T240" i="2"/>
  <c r="A496" i="2"/>
  <c r="A334" i="2"/>
  <c r="A149" i="2"/>
  <c r="A185" i="2"/>
  <c r="A442" i="2"/>
  <c r="A240" i="2"/>
  <c r="A59" i="2"/>
  <c r="T298" i="2"/>
  <c r="T275" i="2"/>
  <c r="A316" i="2"/>
  <c r="T316" i="2"/>
  <c r="A113" i="2"/>
  <c r="T352" i="2"/>
  <c r="A532" i="2"/>
  <c r="A258" i="2"/>
  <c r="A406" i="2"/>
  <c r="A77" i="2"/>
  <c r="A275" i="2"/>
  <c r="T204" i="2"/>
  <c r="A460" i="2"/>
  <c r="A6" i="2"/>
  <c r="T335" i="2"/>
  <c r="A443" i="2"/>
  <c r="A353" i="2"/>
  <c r="A259" i="2"/>
  <c r="A114" i="2"/>
  <c r="T317" i="2"/>
  <c r="A335" i="2"/>
  <c r="A186" i="2"/>
  <c r="A371" i="2"/>
  <c r="T168" i="2"/>
  <c r="A516" i="2"/>
  <c r="A389" i="2"/>
  <c r="A241" i="2"/>
  <c r="A60" i="2"/>
  <c r="T96" i="2"/>
  <c r="T60" i="2"/>
  <c r="A168" i="2"/>
  <c r="T276" i="2"/>
  <c r="T132" i="2"/>
  <c r="A299" i="2"/>
  <c r="A96" i="2"/>
  <c r="A150" i="2"/>
  <c r="A78" i="2"/>
  <c r="A407" i="2"/>
  <c r="T353" i="2"/>
  <c r="T241" i="2"/>
  <c r="T114" i="2"/>
  <c r="A497" i="2"/>
  <c r="T371" i="2"/>
  <c r="T299" i="2"/>
  <c r="A533" i="2"/>
  <c r="A223" i="2"/>
  <c r="T389" i="2"/>
  <c r="T186" i="2"/>
  <c r="T78" i="2"/>
  <c r="A479" i="2"/>
  <c r="T7" i="2"/>
  <c r="A425" i="2"/>
  <c r="A205" i="2"/>
  <c r="A317" i="2"/>
  <c r="T150" i="2"/>
  <c r="T205" i="2"/>
  <c r="A461" i="2"/>
  <c r="A276" i="2"/>
  <c r="A132" i="2"/>
  <c r="A7" i="2"/>
  <c r="T336" i="2"/>
  <c r="T390" i="2"/>
  <c r="T187" i="2"/>
  <c r="A444" i="2"/>
  <c r="A242" i="2"/>
  <c r="A498" i="2"/>
  <c r="A260" i="2"/>
  <c r="A300" i="2"/>
  <c r="T242" i="2"/>
  <c r="T206" i="2"/>
  <c r="A133" i="2"/>
  <c r="A97" i="2"/>
  <c r="A462" i="2"/>
  <c r="T372" i="2"/>
  <c r="A224" i="2"/>
  <c r="T318" i="2"/>
  <c r="T170" i="2"/>
  <c r="T300" i="2"/>
  <c r="A480" i="2"/>
  <c r="A408" i="2"/>
  <c r="A354" i="2"/>
  <c r="A277" i="2"/>
  <c r="A187" i="2"/>
  <c r="T277" i="2"/>
  <c r="T79" i="2"/>
  <c r="A8" i="2"/>
  <c r="A318" i="2"/>
  <c r="A206" i="2"/>
  <c r="T115" i="2"/>
  <c r="A517" i="2"/>
  <c r="A390" i="2"/>
  <c r="A61" i="2"/>
  <c r="T8" i="2"/>
  <c r="T133" i="2"/>
  <c r="T151" i="2"/>
  <c r="A534" i="2"/>
  <c r="A115" i="2"/>
  <c r="A151" i="2"/>
  <c r="T169" i="2"/>
  <c r="A426" i="2"/>
  <c r="T354" i="2"/>
  <c r="A79" i="2"/>
  <c r="T61" i="2"/>
  <c r="T97" i="2"/>
  <c r="A372" i="2"/>
  <c r="A336" i="2"/>
  <c r="A169" i="2"/>
  <c r="A337" i="2"/>
  <c r="A319" i="2"/>
  <c r="T391" i="2"/>
  <c r="A225" i="2"/>
  <c r="T171" i="2"/>
  <c r="T9" i="2"/>
  <c r="T337" i="2"/>
  <c r="T134" i="2"/>
  <c r="T98" i="2"/>
  <c r="A445" i="2"/>
  <c r="A481" i="2"/>
  <c r="T188" i="2"/>
  <c r="A170" i="2"/>
  <c r="A116" i="2"/>
  <c r="A62" i="2"/>
  <c r="T116" i="2"/>
  <c r="T373" i="2"/>
  <c r="T225" i="2"/>
  <c r="T10" i="2"/>
  <c r="A243" i="2"/>
  <c r="A261" i="2"/>
  <c r="A463" i="2"/>
  <c r="A391" i="2"/>
  <c r="T427" i="2"/>
  <c r="D154" i="2"/>
  <c r="D227" i="2"/>
  <c r="B245" i="2"/>
  <c r="T244" i="2"/>
  <c r="D245" i="2"/>
  <c r="C245" i="2"/>
  <c r="B280" i="2"/>
  <c r="D281" i="2" s="1"/>
  <c r="T279" i="2"/>
  <c r="B118" i="2"/>
  <c r="C119" i="2" s="1"/>
  <c r="T117" i="2"/>
  <c r="B190" i="2"/>
  <c r="D191" i="2" s="1"/>
  <c r="T189" i="2"/>
  <c r="B154" i="2"/>
  <c r="D155" i="2" s="1"/>
  <c r="T153" i="2"/>
  <c r="B82" i="2"/>
  <c r="C83" i="2" s="1"/>
  <c r="T81" i="2"/>
  <c r="B227" i="2"/>
  <c r="D228" i="2" s="1"/>
  <c r="T226" i="2"/>
  <c r="B209" i="2"/>
  <c r="D210" i="2" s="1"/>
  <c r="T208" i="2"/>
  <c r="B100" i="2"/>
  <c r="T99" i="2"/>
  <c r="B136" i="2"/>
  <c r="C137" i="2" s="1"/>
  <c r="T135" i="2"/>
  <c r="C64" i="2"/>
  <c r="T63" i="2"/>
  <c r="C136" i="2"/>
  <c r="D136" i="2"/>
  <c r="C209" i="2"/>
  <c r="B173" i="2"/>
  <c r="T172" i="2"/>
  <c r="T31" i="4"/>
  <c r="B57" i="9" s="1"/>
  <c r="S31" i="4"/>
  <c r="C57" i="9" s="1"/>
  <c r="M57" i="9" s="1"/>
  <c r="R32" i="4"/>
  <c r="R33" i="4" s="1"/>
  <c r="D64" i="2"/>
  <c r="F11" i="2"/>
  <c r="A10" i="2"/>
  <c r="F245" i="2"/>
  <c r="A244" i="2"/>
  <c r="B64" i="2"/>
  <c r="T64" i="2" s="1"/>
  <c r="F263" i="2"/>
  <c r="A262" i="2"/>
  <c r="F280" i="2"/>
  <c r="G280" i="2" s="1"/>
  <c r="A279" i="2"/>
  <c r="F172" i="2"/>
  <c r="A171" i="2"/>
  <c r="F118" i="2"/>
  <c r="A117" i="2"/>
  <c r="F64" i="2"/>
  <c r="A63" i="2"/>
  <c r="F154" i="2"/>
  <c r="A153" i="2"/>
  <c r="F136" i="2"/>
  <c r="A135" i="2"/>
  <c r="F100" i="2"/>
  <c r="A99" i="2"/>
  <c r="F190" i="2"/>
  <c r="A189" i="2"/>
  <c r="F82" i="2"/>
  <c r="G82" i="2" s="1"/>
  <c r="A81" i="2"/>
  <c r="F209" i="2"/>
  <c r="A208" i="2"/>
  <c r="F227" i="2"/>
  <c r="A226" i="2"/>
  <c r="H40" i="4"/>
  <c r="H15" i="4"/>
  <c r="H61" i="4"/>
  <c r="H82" i="4"/>
  <c r="H103" i="4"/>
  <c r="H124" i="4"/>
  <c r="H144" i="4"/>
  <c r="H161" i="4"/>
  <c r="H177" i="4"/>
  <c r="H193" i="4"/>
  <c r="H209" i="4"/>
  <c r="H223" i="4"/>
  <c r="H237" i="4"/>
  <c r="A16" i="4"/>
  <c r="G8" i="2" s="1"/>
  <c r="B11" i="2"/>
  <c r="T11" i="2" s="1"/>
  <c r="B263" i="2"/>
  <c r="T263" i="2" s="1"/>
  <c r="C263" i="2"/>
  <c r="D263" i="2"/>
  <c r="D173" i="2"/>
  <c r="C173" i="2"/>
  <c r="D11" i="2"/>
  <c r="C11" i="2"/>
  <c r="H53" i="7" l="1"/>
  <c r="J53" i="7"/>
  <c r="G54" i="7"/>
  <c r="A592" i="3"/>
  <c r="D101" i="2"/>
  <c r="C101" i="2"/>
  <c r="D538" i="2"/>
  <c r="C538" i="2"/>
  <c r="B538" i="2"/>
  <c r="T538" i="2" s="1"/>
  <c r="D522" i="2"/>
  <c r="C522" i="2"/>
  <c r="B522" i="2"/>
  <c r="T522" i="2" s="1"/>
  <c r="B502" i="2"/>
  <c r="T502" i="2" s="1"/>
  <c r="D502" i="2"/>
  <c r="C502" i="2"/>
  <c r="C484" i="2"/>
  <c r="B484" i="2"/>
  <c r="T484" i="2" s="1"/>
  <c r="D484" i="2"/>
  <c r="C466" i="2"/>
  <c r="B466" i="2"/>
  <c r="T466" i="2" s="1"/>
  <c r="D466" i="2"/>
  <c r="C448" i="2"/>
  <c r="D448" i="2"/>
  <c r="B448" i="2"/>
  <c r="T448" i="2" s="1"/>
  <c r="D430" i="2"/>
  <c r="C430" i="2"/>
  <c r="B430" i="2"/>
  <c r="D412" i="2"/>
  <c r="C412" i="2"/>
  <c r="B412" i="2"/>
  <c r="T412" i="2" s="1"/>
  <c r="B394" i="2"/>
  <c r="D394" i="2"/>
  <c r="C394" i="2"/>
  <c r="D376" i="2"/>
  <c r="B376" i="2"/>
  <c r="C376" i="2"/>
  <c r="B358" i="2"/>
  <c r="D358" i="2"/>
  <c r="C358" i="2"/>
  <c r="D340" i="2"/>
  <c r="C340" i="2"/>
  <c r="B340" i="2"/>
  <c r="B322" i="2"/>
  <c r="D322" i="2"/>
  <c r="C322" i="2"/>
  <c r="D304" i="2"/>
  <c r="B304" i="2"/>
  <c r="C304" i="2"/>
  <c r="D83" i="2"/>
  <c r="C65" i="2"/>
  <c r="D65" i="2"/>
  <c r="C228" i="2"/>
  <c r="C281" i="2"/>
  <c r="C210" i="2"/>
  <c r="D119" i="2"/>
  <c r="B449" i="3"/>
  <c r="B451" i="3"/>
  <c r="D137" i="2"/>
  <c r="C191" i="2"/>
  <c r="C155" i="2"/>
  <c r="B281" i="2"/>
  <c r="D282" i="2" s="1"/>
  <c r="T280" i="2"/>
  <c r="B246" i="2"/>
  <c r="T245" i="2"/>
  <c r="D246" i="2"/>
  <c r="C246" i="2"/>
  <c r="B210" i="2"/>
  <c r="C211" i="2" s="1"/>
  <c r="T209" i="2"/>
  <c r="B174" i="2"/>
  <c r="T173" i="2"/>
  <c r="B228" i="2"/>
  <c r="D229" i="2" s="1"/>
  <c r="T227" i="2"/>
  <c r="B83" i="2"/>
  <c r="C84" i="2" s="1"/>
  <c r="T82" i="2"/>
  <c r="B155" i="2"/>
  <c r="C156" i="2" s="1"/>
  <c r="T154" i="2"/>
  <c r="B137" i="2"/>
  <c r="D138" i="2" s="1"/>
  <c r="T136" i="2"/>
  <c r="B191" i="2"/>
  <c r="C192" i="2" s="1"/>
  <c r="T190" i="2"/>
  <c r="B101" i="2"/>
  <c r="T100" i="2"/>
  <c r="B119" i="2"/>
  <c r="D120" i="2" s="1"/>
  <c r="T118" i="2"/>
  <c r="F12" i="2"/>
  <c r="A11" i="2"/>
  <c r="F281" i="2"/>
  <c r="G281" i="2" s="1"/>
  <c r="A280" i="2"/>
  <c r="F264" i="2"/>
  <c r="A263" i="2"/>
  <c r="B65" i="2"/>
  <c r="F246" i="2"/>
  <c r="A245" i="2"/>
  <c r="F65" i="2"/>
  <c r="A64" i="2"/>
  <c r="F83" i="2"/>
  <c r="A82" i="2"/>
  <c r="F119" i="2"/>
  <c r="A118" i="2"/>
  <c r="F191" i="2"/>
  <c r="A190" i="2"/>
  <c r="F101" i="2"/>
  <c r="A100" i="2"/>
  <c r="F137" i="2"/>
  <c r="A136" i="2"/>
  <c r="F228" i="2"/>
  <c r="A227" i="2"/>
  <c r="F210" i="2"/>
  <c r="A209" i="2"/>
  <c r="F155" i="2"/>
  <c r="A154" i="2"/>
  <c r="F173" i="2"/>
  <c r="A172" i="2"/>
  <c r="H41" i="4"/>
  <c r="H16" i="4"/>
  <c r="H62" i="4"/>
  <c r="H83" i="4"/>
  <c r="H104" i="4"/>
  <c r="H125" i="4"/>
  <c r="H145" i="4"/>
  <c r="H162" i="4"/>
  <c r="H178" i="4"/>
  <c r="H194" i="4"/>
  <c r="H210" i="4"/>
  <c r="H224" i="4"/>
  <c r="H238" i="4"/>
  <c r="A17" i="4"/>
  <c r="B12" i="2"/>
  <c r="B264" i="2"/>
  <c r="T264" i="2" s="1"/>
  <c r="C264" i="2"/>
  <c r="D264" i="2"/>
  <c r="D174" i="2"/>
  <c r="C174" i="2"/>
  <c r="D12" i="2"/>
  <c r="C12" i="2"/>
  <c r="H54" i="7" l="1"/>
  <c r="J54" i="7"/>
  <c r="G55" i="7"/>
  <c r="A598" i="3"/>
  <c r="F41" i="2"/>
  <c r="G41" i="2" s="1"/>
  <c r="C41" i="2"/>
  <c r="D102" i="2"/>
  <c r="C102" i="2"/>
  <c r="D539" i="2"/>
  <c r="B539" i="2"/>
  <c r="T539" i="2" s="1"/>
  <c r="C539" i="2"/>
  <c r="C523" i="2"/>
  <c r="D523" i="2"/>
  <c r="B523" i="2"/>
  <c r="T523" i="2" s="1"/>
  <c r="D503" i="2"/>
  <c r="C503" i="2"/>
  <c r="B503" i="2"/>
  <c r="T503" i="2" s="1"/>
  <c r="D485" i="2"/>
  <c r="C485" i="2"/>
  <c r="B485" i="2"/>
  <c r="T485" i="2" s="1"/>
  <c r="C467" i="2"/>
  <c r="B467" i="2"/>
  <c r="T467" i="2" s="1"/>
  <c r="D467" i="2"/>
  <c r="C449" i="2"/>
  <c r="B449" i="2"/>
  <c r="T449" i="2" s="1"/>
  <c r="D449" i="2"/>
  <c r="D431" i="2"/>
  <c r="C431" i="2"/>
  <c r="B431" i="2"/>
  <c r="T430" i="2"/>
  <c r="B413" i="2"/>
  <c r="T413" i="2" s="1"/>
  <c r="D413" i="2"/>
  <c r="C413" i="2"/>
  <c r="D395" i="2"/>
  <c r="C395" i="2"/>
  <c r="B395" i="2"/>
  <c r="T394" i="2"/>
  <c r="D377" i="2"/>
  <c r="B377" i="2"/>
  <c r="C377" i="2"/>
  <c r="T376" i="2"/>
  <c r="D359" i="2"/>
  <c r="C359" i="2"/>
  <c r="B359" i="2"/>
  <c r="T358" i="2"/>
  <c r="B341" i="2"/>
  <c r="D341" i="2"/>
  <c r="C341" i="2"/>
  <c r="T340" i="2"/>
  <c r="B323" i="2"/>
  <c r="D323" i="2"/>
  <c r="C323" i="2"/>
  <c r="T322" i="2"/>
  <c r="D305" i="2"/>
  <c r="C305" i="2"/>
  <c r="B305" i="2"/>
  <c r="T304" i="2"/>
  <c r="T12" i="2"/>
  <c r="C282" i="2"/>
  <c r="C138" i="2"/>
  <c r="D84" i="2"/>
  <c r="D156" i="2"/>
  <c r="D211" i="2"/>
  <c r="D192" i="2"/>
  <c r="C120" i="2"/>
  <c r="C229" i="2"/>
  <c r="B247" i="2"/>
  <c r="T246" i="2"/>
  <c r="D247" i="2"/>
  <c r="C247" i="2"/>
  <c r="B282" i="2"/>
  <c r="D283" i="2" s="1"/>
  <c r="T281" i="2"/>
  <c r="B138" i="2"/>
  <c r="D139" i="2" s="1"/>
  <c r="T137" i="2"/>
  <c r="B156" i="2"/>
  <c r="C157" i="2" s="1"/>
  <c r="T155" i="2"/>
  <c r="B84" i="2"/>
  <c r="T83" i="2"/>
  <c r="B120" i="2"/>
  <c r="C121" i="2" s="1"/>
  <c r="T119" i="2"/>
  <c r="B229" i="2"/>
  <c r="T228" i="2"/>
  <c r="B102" i="2"/>
  <c r="T101" i="2"/>
  <c r="B175" i="2"/>
  <c r="T174" i="2"/>
  <c r="D66" i="2"/>
  <c r="T65" i="2"/>
  <c r="B192" i="2"/>
  <c r="C193" i="2" s="1"/>
  <c r="T191" i="2"/>
  <c r="B211" i="2"/>
  <c r="T210" i="2"/>
  <c r="C66" i="2"/>
  <c r="F13" i="2"/>
  <c r="F14" i="2" s="1"/>
  <c r="A12" i="2"/>
  <c r="F247" i="2"/>
  <c r="A246" i="2"/>
  <c r="B66" i="2"/>
  <c r="T66" i="2" s="1"/>
  <c r="F265" i="2"/>
  <c r="A264" i="2"/>
  <c r="F282" i="2"/>
  <c r="A281" i="2"/>
  <c r="F120" i="2"/>
  <c r="A119" i="2"/>
  <c r="F211" i="2"/>
  <c r="A210" i="2"/>
  <c r="F84" i="2"/>
  <c r="A83" i="2"/>
  <c r="F102" i="2"/>
  <c r="A101" i="2"/>
  <c r="F229" i="2"/>
  <c r="F230" i="2" s="1"/>
  <c r="A228" i="2"/>
  <c r="F66" i="2"/>
  <c r="A65" i="2"/>
  <c r="F138" i="2"/>
  <c r="A137" i="2"/>
  <c r="F192" i="2"/>
  <c r="A191" i="2"/>
  <c r="F174" i="2"/>
  <c r="A173" i="2"/>
  <c r="F156" i="2"/>
  <c r="A155" i="2"/>
  <c r="H42" i="4"/>
  <c r="H17" i="4"/>
  <c r="H63" i="4"/>
  <c r="H84" i="4"/>
  <c r="H105" i="4"/>
  <c r="H126" i="4"/>
  <c r="H146" i="4"/>
  <c r="H163" i="4"/>
  <c r="H179" i="4"/>
  <c r="H195" i="4"/>
  <c r="H211" i="4"/>
  <c r="H225" i="4"/>
  <c r="H239" i="4"/>
  <c r="A18" i="4"/>
  <c r="B13" i="2"/>
  <c r="B41" i="2"/>
  <c r="T41" i="2" s="1"/>
  <c r="B265" i="2"/>
  <c r="D265" i="2"/>
  <c r="C265" i="2"/>
  <c r="D41" i="2"/>
  <c r="D175" i="2"/>
  <c r="C175" i="2"/>
  <c r="C13" i="2"/>
  <c r="D13" i="2"/>
  <c r="J55" i="7" l="1"/>
  <c r="H55" i="7"/>
  <c r="G56" i="7"/>
  <c r="A604" i="3"/>
  <c r="A41" i="2"/>
  <c r="C42" i="2"/>
  <c r="D42" i="2"/>
  <c r="G5" i="2"/>
  <c r="G440" i="2"/>
  <c r="G80" i="2"/>
  <c r="G188" i="2"/>
  <c r="C103" i="2"/>
  <c r="D103" i="2"/>
  <c r="D540" i="2"/>
  <c r="B540" i="2"/>
  <c r="T540" i="2" s="1"/>
  <c r="C540" i="2"/>
  <c r="D524" i="2"/>
  <c r="C524" i="2"/>
  <c r="B524" i="2"/>
  <c r="T524" i="2" s="1"/>
  <c r="D504" i="2"/>
  <c r="B504" i="2"/>
  <c r="T504" i="2" s="1"/>
  <c r="C504" i="2"/>
  <c r="B486" i="2"/>
  <c r="T486" i="2" s="1"/>
  <c r="D486" i="2"/>
  <c r="C486" i="2"/>
  <c r="B468" i="2"/>
  <c r="T468" i="2" s="1"/>
  <c r="C468" i="2"/>
  <c r="D468" i="2"/>
  <c r="B450" i="2"/>
  <c r="T450" i="2" s="1"/>
  <c r="D450" i="2"/>
  <c r="C450" i="2"/>
  <c r="B432" i="2"/>
  <c r="D432" i="2"/>
  <c r="C432" i="2"/>
  <c r="T431" i="2"/>
  <c r="D414" i="2"/>
  <c r="C414" i="2"/>
  <c r="B414" i="2"/>
  <c r="T414" i="2" s="1"/>
  <c r="B396" i="2"/>
  <c r="D396" i="2"/>
  <c r="C396" i="2"/>
  <c r="T395" i="2"/>
  <c r="D378" i="2"/>
  <c r="B378" i="2"/>
  <c r="C378" i="2"/>
  <c r="T377" i="2"/>
  <c r="B360" i="2"/>
  <c r="D360" i="2"/>
  <c r="C360" i="2"/>
  <c r="T359" i="2"/>
  <c r="D342" i="2"/>
  <c r="B342" i="2"/>
  <c r="C342" i="2"/>
  <c r="T341" i="2"/>
  <c r="D324" i="2"/>
  <c r="C324" i="2"/>
  <c r="B324" i="2"/>
  <c r="T323" i="2"/>
  <c r="D306" i="2"/>
  <c r="B306" i="2"/>
  <c r="C306" i="2"/>
  <c r="T305" i="2"/>
  <c r="T247" i="2"/>
  <c r="B248" i="2"/>
  <c r="C248" i="2"/>
  <c r="D248" i="2"/>
  <c r="A265" i="2"/>
  <c r="F266" i="2"/>
  <c r="T265" i="2"/>
  <c r="B266" i="2"/>
  <c r="C266" i="2"/>
  <c r="D266" i="2"/>
  <c r="A247" i="2"/>
  <c r="F248" i="2"/>
  <c r="A211" i="2"/>
  <c r="F212" i="2"/>
  <c r="T211" i="2"/>
  <c r="C212" i="2"/>
  <c r="B212" i="2"/>
  <c r="D212" i="2"/>
  <c r="T229" i="2"/>
  <c r="B230" i="2"/>
  <c r="C230" i="2"/>
  <c r="D230" i="2"/>
  <c r="T175" i="2"/>
  <c r="C176" i="2"/>
  <c r="B176" i="2"/>
  <c r="D176" i="2"/>
  <c r="F15" i="2"/>
  <c r="A14" i="2"/>
  <c r="F231" i="2"/>
  <c r="A230" i="2"/>
  <c r="C14" i="2"/>
  <c r="B14" i="2"/>
  <c r="D14" i="2"/>
  <c r="T13" i="2"/>
  <c r="A13" i="2"/>
  <c r="D121" i="2"/>
  <c r="C85" i="2"/>
  <c r="D85" i="2"/>
  <c r="C139" i="2"/>
  <c r="D193" i="2"/>
  <c r="C283" i="2"/>
  <c r="D157" i="2"/>
  <c r="C67" i="2"/>
  <c r="D67" i="2"/>
  <c r="B283" i="2"/>
  <c r="T282" i="2"/>
  <c r="T102" i="2"/>
  <c r="B103" i="2"/>
  <c r="B193" i="2"/>
  <c r="T192" i="2"/>
  <c r="B121" i="2"/>
  <c r="T120" i="2"/>
  <c r="B85" i="2"/>
  <c r="T84" i="2"/>
  <c r="B157" i="2"/>
  <c r="T156" i="2"/>
  <c r="B139" i="2"/>
  <c r="T138" i="2"/>
  <c r="A229" i="2"/>
  <c r="F283" i="2"/>
  <c r="A282" i="2"/>
  <c r="B67" i="2"/>
  <c r="A102" i="2"/>
  <c r="F103" i="2"/>
  <c r="F104" i="2" s="1"/>
  <c r="F157" i="2"/>
  <c r="F158" i="2" s="1"/>
  <c r="A156" i="2"/>
  <c r="F193" i="2"/>
  <c r="A192" i="2"/>
  <c r="F85" i="2"/>
  <c r="F86" i="2" s="1"/>
  <c r="A84" i="2"/>
  <c r="F139" i="2"/>
  <c r="F140" i="2" s="1"/>
  <c r="A138" i="2"/>
  <c r="F67" i="2"/>
  <c r="F68" i="2" s="1"/>
  <c r="A66" i="2"/>
  <c r="F175" i="2"/>
  <c r="A174" i="2"/>
  <c r="F121" i="2"/>
  <c r="F122" i="2" s="1"/>
  <c r="A120" i="2"/>
  <c r="H43" i="4"/>
  <c r="H18" i="4"/>
  <c r="H64" i="4"/>
  <c r="H85" i="4"/>
  <c r="H106" i="4"/>
  <c r="H127" i="4"/>
  <c r="H147" i="4"/>
  <c r="H164" i="4"/>
  <c r="H180" i="4"/>
  <c r="H196" i="4"/>
  <c r="H212" i="4"/>
  <c r="H226" i="4"/>
  <c r="H240" i="4"/>
  <c r="H250" i="4"/>
  <c r="H260" i="4"/>
  <c r="H270" i="4"/>
  <c r="H280" i="4"/>
  <c r="A19" i="4"/>
  <c r="F42" i="2"/>
  <c r="G42" i="2" s="1"/>
  <c r="B42" i="2"/>
  <c r="T42" i="2" s="1"/>
  <c r="C44" i="2"/>
  <c r="D44" i="2"/>
  <c r="H56" i="7" l="1"/>
  <c r="J56" i="7"/>
  <c r="G57" i="7"/>
  <c r="A610" i="3"/>
  <c r="C43" i="2"/>
  <c r="D43" i="2"/>
  <c r="D104" i="2"/>
  <c r="C104" i="2"/>
  <c r="C541" i="2"/>
  <c r="B541" i="2"/>
  <c r="T541" i="2" s="1"/>
  <c r="D541" i="2"/>
  <c r="D525" i="2"/>
  <c r="C525" i="2"/>
  <c r="B525" i="2"/>
  <c r="T525" i="2" s="1"/>
  <c r="C505" i="2"/>
  <c r="B505" i="2"/>
  <c r="T505" i="2" s="1"/>
  <c r="D505" i="2"/>
  <c r="C487" i="2"/>
  <c r="B487" i="2"/>
  <c r="T487" i="2" s="1"/>
  <c r="D487" i="2"/>
  <c r="B469" i="2"/>
  <c r="T469" i="2" s="1"/>
  <c r="D469" i="2"/>
  <c r="C469" i="2"/>
  <c r="C451" i="2"/>
  <c r="B451" i="2"/>
  <c r="T451" i="2" s="1"/>
  <c r="D451" i="2"/>
  <c r="C433" i="2"/>
  <c r="B433" i="2"/>
  <c r="T433" i="2" s="1"/>
  <c r="D433" i="2"/>
  <c r="T432" i="2"/>
  <c r="C415" i="2"/>
  <c r="D415" i="2"/>
  <c r="B415" i="2"/>
  <c r="T415" i="2" s="1"/>
  <c r="C397" i="2"/>
  <c r="B397" i="2"/>
  <c r="D397" i="2"/>
  <c r="T396" i="2"/>
  <c r="C379" i="2"/>
  <c r="B379" i="2"/>
  <c r="D379" i="2"/>
  <c r="T378" i="2"/>
  <c r="C361" i="2"/>
  <c r="B361" i="2"/>
  <c r="D361" i="2"/>
  <c r="T360" i="2"/>
  <c r="B343" i="2"/>
  <c r="C343" i="2"/>
  <c r="D343" i="2"/>
  <c r="T342" i="2"/>
  <c r="C325" i="2"/>
  <c r="B325" i="2"/>
  <c r="D325" i="2"/>
  <c r="T324" i="2"/>
  <c r="C307" i="2"/>
  <c r="B307" i="2"/>
  <c r="D307" i="2"/>
  <c r="T306" i="2"/>
  <c r="A283" i="2"/>
  <c r="F284" i="2"/>
  <c r="T283" i="2"/>
  <c r="B284" i="2"/>
  <c r="C284" i="2"/>
  <c r="D284" i="2"/>
  <c r="C267" i="2"/>
  <c r="D267" i="2"/>
  <c r="B267" i="2"/>
  <c r="T266" i="2"/>
  <c r="F267" i="2"/>
  <c r="A266" i="2"/>
  <c r="C249" i="2"/>
  <c r="D249" i="2"/>
  <c r="B249" i="2"/>
  <c r="T248" i="2"/>
  <c r="F249" i="2"/>
  <c r="A248" i="2"/>
  <c r="F232" i="2"/>
  <c r="A231" i="2"/>
  <c r="A175" i="2"/>
  <c r="F176" i="2"/>
  <c r="B122" i="2"/>
  <c r="C122" i="2"/>
  <c r="D122" i="2"/>
  <c r="B68" i="2"/>
  <c r="C68" i="2"/>
  <c r="D68" i="2"/>
  <c r="F69" i="2"/>
  <c r="A68" i="2"/>
  <c r="T193" i="2"/>
  <c r="C194" i="2"/>
  <c r="B194" i="2"/>
  <c r="D194" i="2"/>
  <c r="C231" i="2"/>
  <c r="D231" i="2"/>
  <c r="B231" i="2"/>
  <c r="T230" i="2"/>
  <c r="C177" i="2"/>
  <c r="D177" i="2"/>
  <c r="B177" i="2"/>
  <c r="T176" i="2"/>
  <c r="F213" i="2"/>
  <c r="A212" i="2"/>
  <c r="F159" i="2"/>
  <c r="A158" i="2"/>
  <c r="F141" i="2"/>
  <c r="A140" i="2"/>
  <c r="C213" i="2"/>
  <c r="D213" i="2"/>
  <c r="B213" i="2"/>
  <c r="T212" i="2"/>
  <c r="B86" i="2"/>
  <c r="C86" i="2"/>
  <c r="D86" i="2"/>
  <c r="F105" i="2"/>
  <c r="A104" i="2"/>
  <c r="B104" i="2"/>
  <c r="F87" i="2"/>
  <c r="A86" i="2"/>
  <c r="B140" i="2"/>
  <c r="C140" i="2"/>
  <c r="D140" i="2"/>
  <c r="C15" i="2"/>
  <c r="D15" i="2"/>
  <c r="B15" i="2"/>
  <c r="T14" i="2"/>
  <c r="F123" i="2"/>
  <c r="A122" i="2"/>
  <c r="A193" i="2"/>
  <c r="F194" i="2"/>
  <c r="C158" i="2"/>
  <c r="B158" i="2"/>
  <c r="D158" i="2"/>
  <c r="F16" i="2"/>
  <c r="A15" i="2"/>
  <c r="T157" i="2"/>
  <c r="A121" i="2"/>
  <c r="A157" i="2"/>
  <c r="A103" i="2"/>
  <c r="T121" i="2"/>
  <c r="T139" i="2"/>
  <c r="T103" i="2"/>
  <c r="A139" i="2"/>
  <c r="A85" i="2"/>
  <c r="A67" i="2"/>
  <c r="T67" i="2"/>
  <c r="T85" i="2"/>
  <c r="B43" i="2"/>
  <c r="T43" i="2" s="1"/>
  <c r="A42" i="2"/>
  <c r="H44" i="4"/>
  <c r="H19" i="4"/>
  <c r="H65" i="4"/>
  <c r="H86" i="4"/>
  <c r="H107" i="4"/>
  <c r="H128" i="4"/>
  <c r="H148" i="4"/>
  <c r="H165" i="4"/>
  <c r="H181" i="4"/>
  <c r="H197" i="4"/>
  <c r="H213" i="4"/>
  <c r="H227" i="4"/>
  <c r="H241" i="4"/>
  <c r="H251" i="4"/>
  <c r="H261" i="4"/>
  <c r="H271" i="4"/>
  <c r="H281" i="4"/>
  <c r="H290" i="4"/>
  <c r="A20" i="4"/>
  <c r="F43" i="2"/>
  <c r="G43" i="2" s="1"/>
  <c r="C45" i="2"/>
  <c r="D45" i="2"/>
  <c r="D46" i="2"/>
  <c r="C46" i="2"/>
  <c r="J57" i="7" l="1"/>
  <c r="H57" i="7"/>
  <c r="G58" i="7"/>
  <c r="A616" i="3"/>
  <c r="C105" i="2"/>
  <c r="D105" i="2"/>
  <c r="D542" i="2"/>
  <c r="C542" i="2"/>
  <c r="B542" i="2"/>
  <c r="T542" i="2" s="1"/>
  <c r="D506" i="2"/>
  <c r="C506" i="2"/>
  <c r="B506" i="2"/>
  <c r="T506" i="2" s="1"/>
  <c r="D488" i="2"/>
  <c r="C488" i="2"/>
  <c r="B488" i="2"/>
  <c r="T488" i="2" s="1"/>
  <c r="D470" i="2"/>
  <c r="B470" i="2"/>
  <c r="T470" i="2" s="1"/>
  <c r="C470" i="2"/>
  <c r="D452" i="2"/>
  <c r="C452" i="2"/>
  <c r="B452" i="2"/>
  <c r="T452" i="2" s="1"/>
  <c r="D434" i="2"/>
  <c r="C434" i="2"/>
  <c r="B434" i="2"/>
  <c r="T434" i="2" s="1"/>
  <c r="D416" i="2"/>
  <c r="C416" i="2"/>
  <c r="B416" i="2"/>
  <c r="T416" i="2" s="1"/>
  <c r="D398" i="2"/>
  <c r="C398" i="2"/>
  <c r="B398" i="2"/>
  <c r="T397" i="2"/>
  <c r="D380" i="2"/>
  <c r="C380" i="2"/>
  <c r="B380" i="2"/>
  <c r="T379" i="2"/>
  <c r="D362" i="2"/>
  <c r="C362" i="2"/>
  <c r="B362" i="2"/>
  <c r="T361" i="2"/>
  <c r="C344" i="2"/>
  <c r="D344" i="2"/>
  <c r="B344" i="2"/>
  <c r="T343" i="2"/>
  <c r="D326" i="2"/>
  <c r="C326" i="2"/>
  <c r="B326" i="2"/>
  <c r="T325" i="2"/>
  <c r="D308" i="2"/>
  <c r="C308" i="2"/>
  <c r="B308" i="2"/>
  <c r="T307" i="2"/>
  <c r="C285" i="2"/>
  <c r="D285" i="2"/>
  <c r="B285" i="2"/>
  <c r="T284" i="2"/>
  <c r="F285" i="2"/>
  <c r="A284" i="2"/>
  <c r="F250" i="2"/>
  <c r="A249" i="2"/>
  <c r="D250" i="2"/>
  <c r="C250" i="2"/>
  <c r="B250" i="2"/>
  <c r="T249" i="2"/>
  <c r="F268" i="2"/>
  <c r="A267" i="2"/>
  <c r="B268" i="2"/>
  <c r="D268" i="2"/>
  <c r="C268" i="2"/>
  <c r="T267" i="2"/>
  <c r="F195" i="2"/>
  <c r="A194" i="2"/>
  <c r="C141" i="2"/>
  <c r="D141" i="2"/>
  <c r="B141" i="2"/>
  <c r="T140" i="2"/>
  <c r="F214" i="2"/>
  <c r="A213" i="2"/>
  <c r="C123" i="2"/>
  <c r="D123" i="2"/>
  <c r="B123" i="2"/>
  <c r="T122" i="2"/>
  <c r="F88" i="2"/>
  <c r="A87" i="2"/>
  <c r="B214" i="2"/>
  <c r="C214" i="2"/>
  <c r="D214" i="2"/>
  <c r="T213" i="2"/>
  <c r="B195" i="2"/>
  <c r="D195" i="2"/>
  <c r="C195" i="2"/>
  <c r="T194" i="2"/>
  <c r="F177" i="2"/>
  <c r="A176" i="2"/>
  <c r="F124" i="2"/>
  <c r="A123" i="2"/>
  <c r="D178" i="2"/>
  <c r="C178" i="2"/>
  <c r="B178" i="2"/>
  <c r="T177" i="2"/>
  <c r="F17" i="2"/>
  <c r="A16" i="2"/>
  <c r="B105" i="2"/>
  <c r="T104" i="2"/>
  <c r="F70" i="2"/>
  <c r="A69" i="2"/>
  <c r="D16" i="2"/>
  <c r="C16" i="2"/>
  <c r="B16" i="2"/>
  <c r="T15" i="2"/>
  <c r="F106" i="2"/>
  <c r="A105" i="2"/>
  <c r="F233" i="2"/>
  <c r="A232" i="2"/>
  <c r="F142" i="2"/>
  <c r="A141" i="2"/>
  <c r="D159" i="2"/>
  <c r="B159" i="2"/>
  <c r="C159" i="2"/>
  <c r="T158" i="2"/>
  <c r="C87" i="2"/>
  <c r="D87" i="2"/>
  <c r="B87" i="2"/>
  <c r="T86" i="2"/>
  <c r="F160" i="2"/>
  <c r="A159" i="2"/>
  <c r="D232" i="2"/>
  <c r="C232" i="2"/>
  <c r="B232" i="2"/>
  <c r="T231" i="2"/>
  <c r="C69" i="2"/>
  <c r="D69" i="2"/>
  <c r="B69" i="2"/>
  <c r="T68" i="2"/>
  <c r="B44" i="2"/>
  <c r="T44" i="2" s="1"/>
  <c r="F44" i="2"/>
  <c r="G44" i="2" s="1"/>
  <c r="A43" i="2"/>
  <c r="H45" i="4"/>
  <c r="H20" i="4"/>
  <c r="H66" i="4"/>
  <c r="H87" i="4"/>
  <c r="H108" i="4"/>
  <c r="H129" i="4"/>
  <c r="H149" i="4"/>
  <c r="H166" i="4"/>
  <c r="H182" i="4"/>
  <c r="H198" i="4"/>
  <c r="H214" i="4"/>
  <c r="H228" i="4"/>
  <c r="H242" i="4"/>
  <c r="H252" i="4"/>
  <c r="H262" i="4"/>
  <c r="H272" i="4"/>
  <c r="H282" i="4"/>
  <c r="H291" i="4"/>
  <c r="H299" i="4"/>
  <c r="A21" i="4"/>
  <c r="C47" i="2"/>
  <c r="D47" i="2"/>
  <c r="H58" i="7" l="1"/>
  <c r="J58" i="7"/>
  <c r="G59" i="7"/>
  <c r="A622" i="3"/>
  <c r="G491" i="2"/>
  <c r="G367" i="2"/>
  <c r="G385" i="2"/>
  <c r="G295" i="2"/>
  <c r="G421" i="2"/>
  <c r="G439" i="2"/>
  <c r="G403" i="2"/>
  <c r="G313" i="2"/>
  <c r="G349" i="2"/>
  <c r="G331" i="2"/>
  <c r="G457" i="2"/>
  <c r="G257" i="2"/>
  <c r="G167" i="2"/>
  <c r="G113" i="2"/>
  <c r="G131" i="2"/>
  <c r="G149" i="2"/>
  <c r="G205" i="2"/>
  <c r="G241" i="2"/>
  <c r="G223" i="2"/>
  <c r="G277" i="2"/>
  <c r="G189" i="2"/>
  <c r="G81" i="2"/>
  <c r="C106" i="2"/>
  <c r="D106" i="2"/>
  <c r="D543" i="2"/>
  <c r="C543" i="2"/>
  <c r="B543" i="2"/>
  <c r="D507" i="2"/>
  <c r="C507" i="2"/>
  <c r="B507" i="2"/>
  <c r="T507" i="2" s="1"/>
  <c r="D489" i="2"/>
  <c r="C489" i="2"/>
  <c r="B489" i="2"/>
  <c r="T489" i="2" s="1"/>
  <c r="D471" i="2"/>
  <c r="C471" i="2"/>
  <c r="B471" i="2"/>
  <c r="T471" i="2" s="1"/>
  <c r="D453" i="2"/>
  <c r="C453" i="2"/>
  <c r="B453" i="2"/>
  <c r="T453" i="2" s="1"/>
  <c r="D435" i="2"/>
  <c r="C435" i="2"/>
  <c r="B435" i="2"/>
  <c r="T435" i="2" s="1"/>
  <c r="D417" i="2"/>
  <c r="C417" i="2"/>
  <c r="B417" i="2"/>
  <c r="T417" i="2" s="1"/>
  <c r="D399" i="2"/>
  <c r="C399" i="2"/>
  <c r="B399" i="2"/>
  <c r="T399" i="2" s="1"/>
  <c r="T398" i="2"/>
  <c r="D381" i="2"/>
  <c r="C381" i="2"/>
  <c r="B381" i="2"/>
  <c r="T381" i="2" s="1"/>
  <c r="T380" i="2"/>
  <c r="D363" i="2"/>
  <c r="C363" i="2"/>
  <c r="B363" i="2"/>
  <c r="T363" i="2" s="1"/>
  <c r="T362" i="2"/>
  <c r="C345" i="2"/>
  <c r="B345" i="2"/>
  <c r="T345" i="2" s="1"/>
  <c r="D345" i="2"/>
  <c r="T344" i="2"/>
  <c r="D327" i="2"/>
  <c r="C327" i="2"/>
  <c r="B327" i="2"/>
  <c r="T327" i="2" s="1"/>
  <c r="T326" i="2"/>
  <c r="D309" i="2"/>
  <c r="C309" i="2"/>
  <c r="B309" i="2"/>
  <c r="T309" i="2" s="1"/>
  <c r="T308" i="2"/>
  <c r="F286" i="2"/>
  <c r="A285" i="2"/>
  <c r="D286" i="2"/>
  <c r="C286" i="2"/>
  <c r="B286" i="2"/>
  <c r="T285" i="2"/>
  <c r="D269" i="2"/>
  <c r="B269" i="2"/>
  <c r="C269" i="2"/>
  <c r="T268" i="2"/>
  <c r="F269" i="2"/>
  <c r="A268" i="2"/>
  <c r="D251" i="2"/>
  <c r="C251" i="2"/>
  <c r="B251" i="2"/>
  <c r="T250" i="2"/>
  <c r="F251" i="2"/>
  <c r="A250" i="2"/>
  <c r="F161" i="2"/>
  <c r="A160" i="2"/>
  <c r="F143" i="2"/>
  <c r="A142" i="2"/>
  <c r="F125" i="2"/>
  <c r="A124" i="2"/>
  <c r="F215" i="2"/>
  <c r="A214" i="2"/>
  <c r="D88" i="2"/>
  <c r="C88" i="2"/>
  <c r="B88" i="2"/>
  <c r="T87" i="2"/>
  <c r="F234" i="2"/>
  <c r="A233" i="2"/>
  <c r="C215" i="2"/>
  <c r="B215" i="2"/>
  <c r="D215" i="2"/>
  <c r="T214" i="2"/>
  <c r="D17" i="2"/>
  <c r="C17" i="2"/>
  <c r="B17" i="2"/>
  <c r="T16" i="2"/>
  <c r="B106" i="2"/>
  <c r="T105" i="2"/>
  <c r="B142" i="2"/>
  <c r="D142" i="2"/>
  <c r="C142" i="2"/>
  <c r="T141" i="2"/>
  <c r="B70" i="2"/>
  <c r="D70" i="2"/>
  <c r="C70" i="2"/>
  <c r="T69" i="2"/>
  <c r="F89" i="2"/>
  <c r="A88" i="2"/>
  <c r="F107" i="2"/>
  <c r="A106" i="2"/>
  <c r="F18" i="2"/>
  <c r="A17" i="2"/>
  <c r="F178" i="2"/>
  <c r="A177" i="2"/>
  <c r="B179" i="2"/>
  <c r="D179" i="2"/>
  <c r="C179" i="2"/>
  <c r="T178" i="2"/>
  <c r="D124" i="2"/>
  <c r="C124" i="2"/>
  <c r="B124" i="2"/>
  <c r="T123" i="2"/>
  <c r="F196" i="2"/>
  <c r="A195" i="2"/>
  <c r="C160" i="2"/>
  <c r="B160" i="2"/>
  <c r="D160" i="2"/>
  <c r="T159" i="2"/>
  <c r="D233" i="2"/>
  <c r="C233" i="2"/>
  <c r="B233" i="2"/>
  <c r="T232" i="2"/>
  <c r="F71" i="2"/>
  <c r="A70" i="2"/>
  <c r="D196" i="2"/>
  <c r="C196" i="2"/>
  <c r="B196" i="2"/>
  <c r="T195" i="2"/>
  <c r="G59" i="2"/>
  <c r="G9" i="2"/>
  <c r="B45" i="2"/>
  <c r="F45" i="2"/>
  <c r="A44" i="2"/>
  <c r="H21" i="4"/>
  <c r="H46" i="4"/>
  <c r="H67" i="4"/>
  <c r="H88" i="4"/>
  <c r="H109" i="4"/>
  <c r="H130" i="4"/>
  <c r="H150" i="4"/>
  <c r="H167" i="4"/>
  <c r="H183" i="4"/>
  <c r="H199" i="4"/>
  <c r="H215" i="4"/>
  <c r="H229" i="4"/>
  <c r="H243" i="4"/>
  <c r="H253" i="4"/>
  <c r="H263" i="4"/>
  <c r="H273" i="4"/>
  <c r="H283" i="4"/>
  <c r="H292" i="4"/>
  <c r="H300" i="4"/>
  <c r="A22" i="4"/>
  <c r="G4" i="2"/>
  <c r="C48" i="2"/>
  <c r="D48" i="2"/>
  <c r="J59" i="7" l="1"/>
  <c r="H59" i="7"/>
  <c r="G60" i="7"/>
  <c r="T543" i="2"/>
  <c r="A628" i="3"/>
  <c r="G63" i="2"/>
  <c r="G207" i="2"/>
  <c r="D107" i="2"/>
  <c r="C107" i="2"/>
  <c r="B287" i="2"/>
  <c r="D287" i="2"/>
  <c r="C287" i="2"/>
  <c r="T286" i="2"/>
  <c r="F287" i="2"/>
  <c r="A286" i="2"/>
  <c r="F252" i="2"/>
  <c r="A251" i="2"/>
  <c r="B252" i="2"/>
  <c r="D252" i="2"/>
  <c r="C252" i="2"/>
  <c r="T251" i="2"/>
  <c r="F270" i="2"/>
  <c r="A269" i="2"/>
  <c r="B270" i="2"/>
  <c r="D270" i="2"/>
  <c r="C270" i="2"/>
  <c r="T269" i="2"/>
  <c r="B107" i="2"/>
  <c r="T106" i="2"/>
  <c r="F216" i="2"/>
  <c r="A215" i="2"/>
  <c r="D161" i="2"/>
  <c r="B161" i="2"/>
  <c r="C161" i="2"/>
  <c r="T160" i="2"/>
  <c r="F19" i="2"/>
  <c r="F20" i="2" s="1"/>
  <c r="A18" i="2"/>
  <c r="F72" i="2"/>
  <c r="A71" i="2"/>
  <c r="C216" i="2"/>
  <c r="D216" i="2"/>
  <c r="B216" i="2"/>
  <c r="T215" i="2"/>
  <c r="F197" i="2"/>
  <c r="A196" i="2"/>
  <c r="D71" i="2"/>
  <c r="C71" i="2"/>
  <c r="B71" i="2"/>
  <c r="T70" i="2"/>
  <c r="F126" i="2"/>
  <c r="A125" i="2"/>
  <c r="F179" i="2"/>
  <c r="A178" i="2"/>
  <c r="F144" i="2"/>
  <c r="A143" i="2"/>
  <c r="D125" i="2"/>
  <c r="C125" i="2"/>
  <c r="B125" i="2"/>
  <c r="T124" i="2"/>
  <c r="B234" i="2"/>
  <c r="D234" i="2"/>
  <c r="C234" i="2"/>
  <c r="T233" i="2"/>
  <c r="F108" i="2"/>
  <c r="A107" i="2"/>
  <c r="D143" i="2"/>
  <c r="C143" i="2"/>
  <c r="B143" i="2"/>
  <c r="T142" i="2"/>
  <c r="F235" i="2"/>
  <c r="A234" i="2"/>
  <c r="F162" i="2"/>
  <c r="A161" i="2"/>
  <c r="F90" i="2"/>
  <c r="A89" i="2"/>
  <c r="C18" i="2"/>
  <c r="B18" i="2"/>
  <c r="D18" i="2"/>
  <c r="T17" i="2"/>
  <c r="D89" i="2"/>
  <c r="C89" i="2"/>
  <c r="B89" i="2"/>
  <c r="T88" i="2"/>
  <c r="C180" i="2"/>
  <c r="B180" i="2"/>
  <c r="D180" i="2"/>
  <c r="T179" i="2"/>
  <c r="B197" i="2"/>
  <c r="D197" i="2"/>
  <c r="C197" i="2"/>
  <c r="T196" i="2"/>
  <c r="T45" i="2"/>
  <c r="B46" i="2"/>
  <c r="F46" i="2"/>
  <c r="A45" i="2"/>
  <c r="H22" i="4"/>
  <c r="H47" i="4"/>
  <c r="H68" i="4"/>
  <c r="H89" i="4"/>
  <c r="H110" i="4"/>
  <c r="H131" i="4"/>
  <c r="H151" i="4"/>
  <c r="H168" i="4"/>
  <c r="H184" i="4"/>
  <c r="H200" i="4"/>
  <c r="H216" i="4"/>
  <c r="H230" i="4"/>
  <c r="H244" i="4"/>
  <c r="H254" i="4"/>
  <c r="H264" i="4"/>
  <c r="H274" i="4"/>
  <c r="H284" i="4"/>
  <c r="H293" i="4"/>
  <c r="H301" i="4"/>
  <c r="H307" i="4"/>
  <c r="H313" i="4"/>
  <c r="A23" i="4"/>
  <c r="G27" i="2"/>
  <c r="D49" i="2"/>
  <c r="C49" i="2"/>
  <c r="J60" i="7" l="1"/>
  <c r="H60" i="7"/>
  <c r="G61" i="7"/>
  <c r="A634" i="3"/>
  <c r="D108" i="2"/>
  <c r="C108" i="2"/>
  <c r="F288" i="2"/>
  <c r="A287" i="2"/>
  <c r="B288" i="2"/>
  <c r="D288" i="2"/>
  <c r="C288" i="2"/>
  <c r="T287" i="2"/>
  <c r="C271" i="2"/>
  <c r="B271" i="2"/>
  <c r="D271" i="2"/>
  <c r="T270" i="2"/>
  <c r="F271" i="2"/>
  <c r="A270" i="2"/>
  <c r="C253" i="2"/>
  <c r="B253" i="2"/>
  <c r="D253" i="2"/>
  <c r="T252" i="2"/>
  <c r="F253" i="2"/>
  <c r="A252" i="2"/>
  <c r="A19" i="2"/>
  <c r="B90" i="2"/>
  <c r="C91" i="2" s="1"/>
  <c r="D90" i="2"/>
  <c r="C90" i="2"/>
  <c r="T89" i="2"/>
  <c r="D126" i="2"/>
  <c r="B126" i="2"/>
  <c r="C126" i="2"/>
  <c r="T125" i="2"/>
  <c r="B72" i="2"/>
  <c r="D72" i="2"/>
  <c r="C72" i="2"/>
  <c r="T71" i="2"/>
  <c r="C19" i="2"/>
  <c r="B19" i="2"/>
  <c r="D19" i="2"/>
  <c r="T18" i="2"/>
  <c r="B144" i="2"/>
  <c r="D144" i="2"/>
  <c r="C144" i="2"/>
  <c r="T143" i="2"/>
  <c r="B162" i="2"/>
  <c r="C162" i="2"/>
  <c r="D162" i="2"/>
  <c r="T161" i="2"/>
  <c r="D50" i="2"/>
  <c r="C50" i="2"/>
  <c r="F198" i="2"/>
  <c r="A197" i="2"/>
  <c r="F73" i="2"/>
  <c r="A72" i="2"/>
  <c r="F91" i="2"/>
  <c r="A90" i="2"/>
  <c r="F145" i="2"/>
  <c r="A144" i="2"/>
  <c r="B217" i="2"/>
  <c r="D217" i="2"/>
  <c r="C217" i="2"/>
  <c r="T216" i="2"/>
  <c r="F217" i="2"/>
  <c r="A216" i="2"/>
  <c r="D198" i="2"/>
  <c r="C198" i="2"/>
  <c r="B198" i="2"/>
  <c r="T197" i="2"/>
  <c r="F163" i="2"/>
  <c r="A162" i="2"/>
  <c r="F180" i="2"/>
  <c r="A179" i="2"/>
  <c r="F109" i="2"/>
  <c r="A108" i="2"/>
  <c r="C181" i="2"/>
  <c r="B181" i="2"/>
  <c r="D181" i="2"/>
  <c r="T180" i="2"/>
  <c r="F127" i="2"/>
  <c r="A126" i="2"/>
  <c r="B108" i="2"/>
  <c r="T107" i="2"/>
  <c r="F236" i="2"/>
  <c r="A235" i="2"/>
  <c r="C235" i="2"/>
  <c r="B235" i="2"/>
  <c r="D235" i="2"/>
  <c r="T234" i="2"/>
  <c r="T46" i="2"/>
  <c r="B47" i="2"/>
  <c r="H319" i="4"/>
  <c r="G64" i="2"/>
  <c r="F47" i="2"/>
  <c r="A46" i="2"/>
  <c r="H23" i="4"/>
  <c r="H48" i="4"/>
  <c r="H69" i="4"/>
  <c r="H90" i="4"/>
  <c r="H111" i="4"/>
  <c r="H132" i="4"/>
  <c r="H152" i="4"/>
  <c r="H169" i="4"/>
  <c r="H185" i="4"/>
  <c r="H201" i="4"/>
  <c r="H217" i="4"/>
  <c r="H231" i="4"/>
  <c r="H245" i="4"/>
  <c r="H255" i="4"/>
  <c r="H265" i="4"/>
  <c r="H275" i="4"/>
  <c r="H285" i="4"/>
  <c r="H294" i="4"/>
  <c r="H302" i="4"/>
  <c r="H308" i="4"/>
  <c r="H314" i="4"/>
  <c r="A24" i="4"/>
  <c r="H61" i="7" l="1"/>
  <c r="J61" i="7"/>
  <c r="G62" i="7"/>
  <c r="A640" i="3"/>
  <c r="C109" i="2"/>
  <c r="D109" i="2"/>
  <c r="C289" i="2"/>
  <c r="B289" i="2"/>
  <c r="D289" i="2"/>
  <c r="T288" i="2"/>
  <c r="F289" i="2"/>
  <c r="A288" i="2"/>
  <c r="D254" i="2"/>
  <c r="C254" i="2"/>
  <c r="B254" i="2"/>
  <c r="T253" i="2"/>
  <c r="F272" i="2"/>
  <c r="A271" i="2"/>
  <c r="F254" i="2"/>
  <c r="A253" i="2"/>
  <c r="D272" i="2"/>
  <c r="C272" i="2"/>
  <c r="B272" i="2"/>
  <c r="T271" i="2"/>
  <c r="D51" i="2"/>
  <c r="C51" i="2"/>
  <c r="F181" i="2"/>
  <c r="A180" i="2"/>
  <c r="C218" i="2"/>
  <c r="B218" i="2"/>
  <c r="D218" i="2"/>
  <c r="T217" i="2"/>
  <c r="C127" i="2"/>
  <c r="B127" i="2"/>
  <c r="D127" i="2"/>
  <c r="T126" i="2"/>
  <c r="F110" i="2"/>
  <c r="A109" i="2"/>
  <c r="F199" i="2"/>
  <c r="A198" i="2"/>
  <c r="F128" i="2"/>
  <c r="A127" i="2"/>
  <c r="F164" i="2"/>
  <c r="A163" i="2"/>
  <c r="D20" i="2"/>
  <c r="C20" i="2"/>
  <c r="B20" i="2"/>
  <c r="T19" i="2"/>
  <c r="F146" i="2"/>
  <c r="A145" i="2"/>
  <c r="B163" i="2"/>
  <c r="D163" i="2"/>
  <c r="C163" i="2"/>
  <c r="T162" i="2"/>
  <c r="B109" i="2"/>
  <c r="T108" i="2"/>
  <c r="D236" i="2"/>
  <c r="C236" i="2"/>
  <c r="B236" i="2"/>
  <c r="T235" i="2"/>
  <c r="C199" i="2"/>
  <c r="B199" i="2"/>
  <c r="D199" i="2"/>
  <c r="T198" i="2"/>
  <c r="F218" i="2"/>
  <c r="A217" i="2"/>
  <c r="F92" i="2"/>
  <c r="A91" i="2"/>
  <c r="B91" i="2"/>
  <c r="D91" i="2"/>
  <c r="T90" i="2"/>
  <c r="D182" i="2"/>
  <c r="C182" i="2"/>
  <c r="B182" i="2"/>
  <c r="T181" i="2"/>
  <c r="F237" i="2"/>
  <c r="A236" i="2"/>
  <c r="F74" i="2"/>
  <c r="A73" i="2"/>
  <c r="C145" i="2"/>
  <c r="B145" i="2"/>
  <c r="D145" i="2"/>
  <c r="T144" i="2"/>
  <c r="C73" i="2"/>
  <c r="B73" i="2"/>
  <c r="D73" i="2"/>
  <c r="T72" i="2"/>
  <c r="F21" i="2"/>
  <c r="A21" i="2" s="1"/>
  <c r="A20" i="2"/>
  <c r="T47" i="2"/>
  <c r="B48" i="2"/>
  <c r="F48" i="2"/>
  <c r="A47" i="2"/>
  <c r="H24" i="4"/>
  <c r="H49" i="4"/>
  <c r="H70" i="4"/>
  <c r="H91" i="4"/>
  <c r="H112" i="4"/>
  <c r="H133" i="4"/>
  <c r="H153" i="4"/>
  <c r="H170" i="4"/>
  <c r="H186" i="4"/>
  <c r="H202" i="4"/>
  <c r="H218" i="4"/>
  <c r="H232" i="4"/>
  <c r="H246" i="4"/>
  <c r="H256" i="4"/>
  <c r="H266" i="4"/>
  <c r="H276" i="4"/>
  <c r="H286" i="4"/>
  <c r="H295" i="4"/>
  <c r="H303" i="4"/>
  <c r="H309" i="4"/>
  <c r="H315" i="4"/>
  <c r="H320" i="4"/>
  <c r="H324" i="4"/>
  <c r="A25" i="4"/>
  <c r="H328" i="4" s="1"/>
  <c r="H62" i="7" l="1"/>
  <c r="J62" i="7"/>
  <c r="G63" i="7"/>
  <c r="A646" i="3"/>
  <c r="D110" i="2"/>
  <c r="C110" i="2"/>
  <c r="F290" i="2"/>
  <c r="A289" i="2"/>
  <c r="D290" i="2"/>
  <c r="C290" i="2"/>
  <c r="B290" i="2"/>
  <c r="T289" i="2"/>
  <c r="D273" i="2"/>
  <c r="C273" i="2"/>
  <c r="B273" i="2"/>
  <c r="T273" i="2" s="1"/>
  <c r="T272" i="2"/>
  <c r="F255" i="2"/>
  <c r="A255" i="2" s="1"/>
  <c r="A254" i="2"/>
  <c r="F273" i="2"/>
  <c r="A273" i="2" s="1"/>
  <c r="A272" i="2"/>
  <c r="D255" i="2"/>
  <c r="C255" i="2"/>
  <c r="B255" i="2"/>
  <c r="T255" i="2" s="1"/>
  <c r="T254" i="2"/>
  <c r="D219" i="2"/>
  <c r="C219" i="2"/>
  <c r="B219" i="2"/>
  <c r="T219" i="2" s="1"/>
  <c r="T218" i="2"/>
  <c r="B183" i="2"/>
  <c r="T183" i="2" s="1"/>
  <c r="D183" i="2"/>
  <c r="C183" i="2"/>
  <c r="T182" i="2"/>
  <c r="D164" i="2"/>
  <c r="C164" i="2"/>
  <c r="B164" i="2"/>
  <c r="T163" i="2"/>
  <c r="F129" i="2"/>
  <c r="A129" i="2" s="1"/>
  <c r="A128" i="2"/>
  <c r="A237" i="2"/>
  <c r="F219" i="2"/>
  <c r="A219" i="2" s="1"/>
  <c r="A218" i="2"/>
  <c r="F165" i="2"/>
  <c r="A165" i="2" s="1"/>
  <c r="A164" i="2"/>
  <c r="D74" i="2"/>
  <c r="C74" i="2"/>
  <c r="B74" i="2"/>
  <c r="T73" i="2"/>
  <c r="C200" i="2"/>
  <c r="D200" i="2"/>
  <c r="B200" i="2"/>
  <c r="T199" i="2"/>
  <c r="D52" i="2"/>
  <c r="C52" i="2"/>
  <c r="F147" i="2"/>
  <c r="A147" i="2" s="1"/>
  <c r="A146" i="2"/>
  <c r="F200" i="2"/>
  <c r="A199" i="2"/>
  <c r="B237" i="2"/>
  <c r="D237" i="2"/>
  <c r="C237" i="2"/>
  <c r="T236" i="2"/>
  <c r="F111" i="2"/>
  <c r="A111" i="2" s="1"/>
  <c r="A110" i="2"/>
  <c r="D146" i="2"/>
  <c r="C146" i="2"/>
  <c r="B146" i="2"/>
  <c r="B147" i="2" s="1"/>
  <c r="T145" i="2"/>
  <c r="D92" i="2"/>
  <c r="C92" i="2"/>
  <c r="B92" i="2"/>
  <c r="T91" i="2"/>
  <c r="D21" i="2"/>
  <c r="C21" i="2"/>
  <c r="B21" i="2"/>
  <c r="T21" i="2" s="1"/>
  <c r="T20" i="2"/>
  <c r="F182" i="2"/>
  <c r="A181" i="2"/>
  <c r="D128" i="2"/>
  <c r="C128" i="2"/>
  <c r="B128" i="2"/>
  <c r="T127" i="2"/>
  <c r="F75" i="2"/>
  <c r="A75" i="2" s="1"/>
  <c r="A74" i="2"/>
  <c r="F93" i="2"/>
  <c r="A93" i="2" s="1"/>
  <c r="A92" i="2"/>
  <c r="B110" i="2"/>
  <c r="T109" i="2"/>
  <c r="T48" i="2"/>
  <c r="B49" i="2"/>
  <c r="F49" i="2"/>
  <c r="F50" i="2" s="1"/>
  <c r="A48" i="2"/>
  <c r="H25" i="4"/>
  <c r="H50" i="4"/>
  <c r="H71" i="4"/>
  <c r="H92" i="4"/>
  <c r="H113" i="4"/>
  <c r="H134" i="4"/>
  <c r="H154" i="4"/>
  <c r="H171" i="4"/>
  <c r="H187" i="4"/>
  <c r="H203" i="4"/>
  <c r="H219" i="4"/>
  <c r="H233" i="4"/>
  <c r="H247" i="4"/>
  <c r="H257" i="4"/>
  <c r="H267" i="4"/>
  <c r="H277" i="4"/>
  <c r="H287" i="4"/>
  <c r="H296" i="4"/>
  <c r="H304" i="4"/>
  <c r="H310" i="4"/>
  <c r="H316" i="4"/>
  <c r="H321" i="4"/>
  <c r="H325" i="4"/>
  <c r="A26" i="4"/>
  <c r="H331" i="4" s="1"/>
  <c r="J63" i="7" l="1"/>
  <c r="H63" i="7"/>
  <c r="G64" i="7"/>
  <c r="A652" i="3"/>
  <c r="D111" i="2"/>
  <c r="C111" i="2"/>
  <c r="C291" i="2"/>
  <c r="D291" i="2"/>
  <c r="B291" i="2"/>
  <c r="T290" i="2"/>
  <c r="F291" i="2"/>
  <c r="A290" i="2"/>
  <c r="B111" i="2"/>
  <c r="T111" i="2" s="1"/>
  <c r="T110" i="2"/>
  <c r="B201" i="2"/>
  <c r="T201" i="2" s="1"/>
  <c r="C201" i="2"/>
  <c r="D201" i="2"/>
  <c r="T200" i="2"/>
  <c r="F183" i="2"/>
  <c r="A183" i="2" s="1"/>
  <c r="A182" i="2"/>
  <c r="D93" i="2"/>
  <c r="C93" i="2"/>
  <c r="B93" i="2"/>
  <c r="T93" i="2" s="1"/>
  <c r="T92" i="2"/>
  <c r="T237" i="2"/>
  <c r="B75" i="2"/>
  <c r="T75" i="2" s="1"/>
  <c r="D75" i="2"/>
  <c r="C75" i="2"/>
  <c r="T74" i="2"/>
  <c r="C129" i="2"/>
  <c r="D129" i="2"/>
  <c r="B129" i="2"/>
  <c r="T129" i="2" s="1"/>
  <c r="T128" i="2"/>
  <c r="F201" i="2"/>
  <c r="A201" i="2" s="1"/>
  <c r="A200" i="2"/>
  <c r="B50" i="2"/>
  <c r="D53" i="2"/>
  <c r="C53" i="2"/>
  <c r="D165" i="2"/>
  <c r="C165" i="2"/>
  <c r="B165" i="2"/>
  <c r="T165" i="2" s="1"/>
  <c r="T164" i="2"/>
  <c r="F51" i="2"/>
  <c r="A50" i="2"/>
  <c r="C147" i="2"/>
  <c r="T147" i="2"/>
  <c r="D147" i="2"/>
  <c r="T146" i="2"/>
  <c r="T49" i="2"/>
  <c r="A49" i="2"/>
  <c r="H26" i="4"/>
  <c r="H51" i="4"/>
  <c r="H72" i="4"/>
  <c r="H93" i="4"/>
  <c r="H114" i="4"/>
  <c r="H135" i="4"/>
  <c r="H155" i="4"/>
  <c r="H172" i="4"/>
  <c r="H188" i="4"/>
  <c r="H204" i="4"/>
  <c r="H220" i="4"/>
  <c r="H234" i="4"/>
  <c r="H248" i="4"/>
  <c r="H258" i="4"/>
  <c r="H268" i="4"/>
  <c r="H278" i="4"/>
  <c r="H288" i="4"/>
  <c r="H297" i="4"/>
  <c r="H305" i="4"/>
  <c r="H311" i="4"/>
  <c r="H317" i="4"/>
  <c r="H322" i="4"/>
  <c r="H326" i="4"/>
  <c r="H329" i="4"/>
  <c r="A27" i="4"/>
  <c r="A291" i="2" l="1"/>
  <c r="H64" i="7"/>
  <c r="J64" i="7"/>
  <c r="G65" i="7"/>
  <c r="A658" i="3"/>
  <c r="H333" i="4"/>
  <c r="G135" i="2"/>
  <c r="T291" i="2"/>
  <c r="F52" i="2"/>
  <c r="A51" i="2"/>
  <c r="B51" i="2"/>
  <c r="C54" i="2"/>
  <c r="D54" i="2"/>
  <c r="T50" i="2"/>
  <c r="H52" i="4"/>
  <c r="H27" i="4"/>
  <c r="H73" i="4"/>
  <c r="H94" i="4"/>
  <c r="H115" i="4"/>
  <c r="H136" i="4"/>
  <c r="H156" i="4"/>
  <c r="H173" i="4"/>
  <c r="H189" i="4"/>
  <c r="H205" i="4"/>
  <c r="H221" i="4"/>
  <c r="H235" i="4"/>
  <c r="H249" i="4"/>
  <c r="H259" i="4"/>
  <c r="H269" i="4"/>
  <c r="H279" i="4"/>
  <c r="H289" i="4"/>
  <c r="H298" i="4"/>
  <c r="H306" i="4"/>
  <c r="H312" i="4"/>
  <c r="H318" i="4"/>
  <c r="H323" i="4"/>
  <c r="H327" i="4"/>
  <c r="H330" i="4"/>
  <c r="H332" i="4"/>
  <c r="H65" i="7" l="1"/>
  <c r="J65" i="7"/>
  <c r="G66" i="7"/>
  <c r="B52" i="2"/>
  <c r="D55" i="2"/>
  <c r="C55" i="2"/>
  <c r="T51" i="2"/>
  <c r="F53" i="2"/>
  <c r="A52" i="2"/>
  <c r="H66" i="7" l="1"/>
  <c r="J66" i="7"/>
  <c r="G67" i="7"/>
  <c r="B53" i="2"/>
  <c r="D56" i="2"/>
  <c r="C56" i="2"/>
  <c r="T52" i="2"/>
  <c r="F54" i="2"/>
  <c r="A53" i="2"/>
  <c r="J67" i="7" l="1"/>
  <c r="H67" i="7"/>
  <c r="G68" i="7"/>
  <c r="B54" i="2"/>
  <c r="D57" i="2"/>
  <c r="C57" i="2"/>
  <c r="T53" i="2"/>
  <c r="F55" i="2"/>
  <c r="A54" i="2"/>
  <c r="J68" i="7" l="1"/>
  <c r="H68" i="7"/>
  <c r="G69" i="7"/>
  <c r="B55" i="2"/>
  <c r="T54" i="2"/>
  <c r="F56" i="2"/>
  <c r="A55" i="2"/>
  <c r="H69" i="7" l="1"/>
  <c r="J69" i="7"/>
  <c r="G70" i="7"/>
  <c r="F57" i="2"/>
  <c r="A56" i="2"/>
  <c r="B56" i="2"/>
  <c r="T55" i="2"/>
  <c r="J70" i="7" l="1"/>
  <c r="H70" i="7"/>
  <c r="G71" i="7"/>
  <c r="B57" i="2"/>
  <c r="T56" i="2"/>
  <c r="A57" i="2"/>
  <c r="H71" i="7" l="1"/>
  <c r="J71" i="7"/>
  <c r="G72" i="7"/>
  <c r="T57" i="2"/>
  <c r="H72" i="7" l="1"/>
  <c r="J72" i="7"/>
  <c r="G73" i="7"/>
  <c r="J73" i="7" l="1"/>
  <c r="H73" i="7"/>
  <c r="G74" i="7"/>
  <c r="H74" i="7" l="1"/>
  <c r="J74" i="7"/>
  <c r="G75" i="7"/>
  <c r="J75" i="7" l="1"/>
  <c r="H75" i="7"/>
  <c r="G76" i="7"/>
  <c r="J76" i="7" l="1"/>
  <c r="H76" i="7"/>
  <c r="G77" i="7"/>
  <c r="J77" i="7" l="1"/>
  <c r="H77" i="7"/>
  <c r="G78" i="7"/>
  <c r="J78" i="7" l="1"/>
  <c r="H78" i="7"/>
  <c r="G79" i="7"/>
  <c r="H79" i="7" l="1"/>
  <c r="J79" i="7"/>
  <c r="G80" i="7"/>
  <c r="J80" i="7" l="1"/>
  <c r="H80" i="7"/>
  <c r="G81" i="7"/>
  <c r="J81" i="7" l="1"/>
  <c r="H81" i="7"/>
  <c r="G82" i="7"/>
  <c r="H82" i="7" l="1"/>
  <c r="J82" i="7"/>
  <c r="G83" i="7"/>
  <c r="J83" i="7" l="1"/>
  <c r="H83" i="7"/>
  <c r="G84" i="7"/>
  <c r="J84" i="7" l="1"/>
  <c r="H84" i="7"/>
  <c r="G85" i="7"/>
  <c r="H85" i="7" l="1"/>
  <c r="J85" i="7"/>
  <c r="G86" i="7"/>
  <c r="H86" i="7" l="1"/>
  <c r="J86" i="7"/>
  <c r="G87" i="7"/>
  <c r="J87" i="7" l="1"/>
  <c r="H87" i="7"/>
  <c r="G88" i="7"/>
  <c r="J88" i="7" l="1"/>
  <c r="H88" i="7"/>
  <c r="G89" i="7"/>
  <c r="D23" i="2"/>
  <c r="C23" i="2"/>
  <c r="F23" i="2"/>
  <c r="B23" i="2"/>
  <c r="H89" i="7" l="1"/>
  <c r="J89" i="7"/>
  <c r="G90" i="7"/>
  <c r="T23" i="2"/>
  <c r="D24" i="2"/>
  <c r="A23" i="2"/>
  <c r="G23" i="2"/>
  <c r="F24" i="2"/>
  <c r="B24" i="2"/>
  <c r="C24" i="2"/>
  <c r="H90" i="7" l="1"/>
  <c r="J90" i="7"/>
  <c r="A24" i="2"/>
  <c r="F25" i="2"/>
  <c r="G24" i="2"/>
  <c r="B25" i="2"/>
  <c r="T24" i="2"/>
  <c r="C25" i="2"/>
  <c r="D25" i="2"/>
  <c r="C26" i="2" l="1"/>
  <c r="D26" i="2"/>
  <c r="B26" i="2"/>
  <c r="T25" i="2"/>
  <c r="G25" i="2"/>
  <c r="A25" i="2"/>
  <c r="F26" i="2"/>
  <c r="D27" i="2" l="1"/>
  <c r="B27" i="2"/>
  <c r="T26" i="2"/>
  <c r="C27" i="2"/>
  <c r="F27" i="2"/>
  <c r="A26" i="2"/>
  <c r="G26" i="2"/>
  <c r="B11" i="4" l="1"/>
  <c r="B10" i="4"/>
  <c r="A27" i="2"/>
  <c r="F28" i="2"/>
  <c r="B25" i="4"/>
  <c r="D25" i="4" s="1"/>
  <c r="B2" i="4"/>
  <c r="B3" i="4" s="1"/>
  <c r="B5" i="4" s="1"/>
  <c r="B17" i="4"/>
  <c r="C28" i="2"/>
  <c r="T27" i="2"/>
  <c r="D28" i="2"/>
  <c r="B28" i="2"/>
  <c r="B16" i="4"/>
  <c r="B4" i="4" l="1"/>
  <c r="C4" i="4" s="1"/>
  <c r="C17" i="4"/>
  <c r="D17" i="4"/>
  <c r="C3" i="4"/>
  <c r="D3" i="4" s="1"/>
  <c r="C25" i="4"/>
  <c r="C10" i="4"/>
  <c r="D10" i="4"/>
  <c r="C2" i="4"/>
  <c r="C11" i="4"/>
  <c r="D11" i="4"/>
  <c r="D16" i="4"/>
  <c r="C16" i="4"/>
  <c r="C5" i="4"/>
  <c r="D5" i="4" s="1"/>
  <c r="A28" i="2"/>
  <c r="F29" i="2"/>
  <c r="T28" i="2"/>
  <c r="C29" i="2"/>
  <c r="B29" i="2"/>
  <c r="D29" i="2"/>
  <c r="B6" i="4"/>
  <c r="B7" i="4" l="1"/>
  <c r="D4" i="4"/>
  <c r="D2" i="4"/>
  <c r="C6" i="4"/>
  <c r="D6" i="4" s="1"/>
  <c r="B30" i="2"/>
  <c r="C30" i="2"/>
  <c r="T29" i="2"/>
  <c r="D30" i="2"/>
  <c r="A29" i="2"/>
  <c r="F30" i="2"/>
  <c r="C7" i="4" l="1"/>
  <c r="D7" i="4" s="1"/>
  <c r="B8" i="4"/>
  <c r="B9" i="4" s="1"/>
  <c r="C9" i="4" s="1"/>
  <c r="D9" i="4" s="1"/>
  <c r="D31" i="2"/>
  <c r="C31" i="2"/>
  <c r="B31" i="2"/>
  <c r="T30" i="2"/>
  <c r="A30" i="2"/>
  <c r="F31" i="2"/>
  <c r="B12" i="4" l="1"/>
  <c r="C12" i="4" s="1"/>
  <c r="D12" i="4" s="1"/>
  <c r="C8" i="4"/>
  <c r="D8" i="4" s="1"/>
  <c r="B13" i="4"/>
  <c r="C13" i="4" s="1"/>
  <c r="D13" i="4" s="1"/>
  <c r="F32" i="2"/>
  <c r="A31" i="2"/>
  <c r="B32" i="2"/>
  <c r="D32" i="2"/>
  <c r="C32" i="2"/>
  <c r="T31" i="2"/>
  <c r="B14" i="4" l="1"/>
  <c r="D33" i="2"/>
  <c r="T32" i="2"/>
  <c r="C33" i="2"/>
  <c r="B33" i="2"/>
  <c r="A32" i="2"/>
  <c r="F33" i="2"/>
  <c r="B15" i="4" l="1"/>
  <c r="C15" i="4" s="1"/>
  <c r="D15" i="4" s="1"/>
  <c r="C14" i="4"/>
  <c r="D14" i="4" s="1"/>
  <c r="A33" i="2"/>
  <c r="F34" i="2"/>
  <c r="B34" i="2"/>
  <c r="T33" i="2"/>
  <c r="C34" i="2"/>
  <c r="D34" i="2"/>
  <c r="B18" i="4" l="1"/>
  <c r="B19" i="4" s="1"/>
  <c r="B20" i="4" s="1"/>
  <c r="F35" i="2"/>
  <c r="A34" i="2"/>
  <c r="C35" i="2"/>
  <c r="B35" i="2"/>
  <c r="D35" i="2"/>
  <c r="T34" i="2"/>
  <c r="C20" i="4" l="1"/>
  <c r="D20" i="4" s="1"/>
  <c r="C19" i="4"/>
  <c r="D19" i="4" s="1"/>
  <c r="C18" i="4"/>
  <c r="D18" i="4" s="1"/>
  <c r="B21" i="4"/>
  <c r="B36" i="2"/>
  <c r="C36" i="2"/>
  <c r="D36" i="2"/>
  <c r="T35" i="2"/>
  <c r="A35" i="2"/>
  <c r="F36" i="2"/>
  <c r="C21" i="4" l="1"/>
  <c r="D21" i="4" s="1"/>
  <c r="B22" i="4"/>
  <c r="A36" i="2"/>
  <c r="F37" i="2"/>
  <c r="D37" i="2"/>
  <c r="B37" i="2"/>
  <c r="T36" i="2"/>
  <c r="C37" i="2"/>
  <c r="C22" i="4" l="1"/>
  <c r="D22" i="4" s="1"/>
  <c r="B23" i="4"/>
  <c r="B38" i="2"/>
  <c r="T37" i="2"/>
  <c r="C38" i="2"/>
  <c r="D38" i="2"/>
  <c r="A37" i="2"/>
  <c r="F38" i="2"/>
  <c r="B24" i="4" l="1"/>
  <c r="B26" i="4" s="1"/>
  <c r="C26" i="4" s="1"/>
  <c r="D26" i="4" s="1"/>
  <c r="C23" i="4"/>
  <c r="A38" i="2"/>
  <c r="F39" i="2"/>
  <c r="C39" i="2"/>
  <c r="D39" i="2"/>
  <c r="B39" i="2"/>
  <c r="T38" i="2"/>
  <c r="E6" i="3" l="1"/>
  <c r="B6" i="3"/>
  <c r="I6" i="3" s="1"/>
  <c r="G6" i="3"/>
  <c r="D6" i="3"/>
  <c r="G20" i="3"/>
  <c r="D16" i="3"/>
  <c r="G18" i="3"/>
  <c r="G23" i="3"/>
  <c r="D11" i="3"/>
  <c r="E12" i="3"/>
  <c r="E9" i="3"/>
  <c r="B21" i="3"/>
  <c r="I21" i="3" s="1"/>
  <c r="E23" i="3"/>
  <c r="D22" i="3"/>
  <c r="D23" i="3"/>
  <c r="B12" i="3"/>
  <c r="I12" i="3" s="1"/>
  <c r="E21" i="3"/>
  <c r="E14" i="3"/>
  <c r="G16" i="3"/>
  <c r="B13" i="3"/>
  <c r="I13" i="3" s="1"/>
  <c r="E7" i="3"/>
  <c r="E15" i="3"/>
  <c r="D13" i="3"/>
  <c r="G19" i="3"/>
  <c r="E16" i="3"/>
  <c r="E13" i="3"/>
  <c r="B8" i="3"/>
  <c r="I8" i="3" s="1"/>
  <c r="D7" i="3"/>
  <c r="B9" i="3"/>
  <c r="I9" i="3" s="1"/>
  <c r="G17" i="3"/>
  <c r="B17" i="3"/>
  <c r="I17" i="3" s="1"/>
  <c r="G15" i="3"/>
  <c r="B18" i="3"/>
  <c r="I18" i="3" s="1"/>
  <c r="B23" i="3"/>
  <c r="I23" i="3" s="1"/>
  <c r="B22" i="3"/>
  <c r="I22" i="3" s="1"/>
  <c r="B15" i="3"/>
  <c r="I15" i="3" s="1"/>
  <c r="G8" i="3"/>
  <c r="G14" i="3"/>
  <c r="E17" i="3"/>
  <c r="D17" i="3"/>
  <c r="G21" i="3"/>
  <c r="D14" i="3"/>
  <c r="G7" i="3"/>
  <c r="E10" i="3"/>
  <c r="D21" i="3"/>
  <c r="B14" i="3"/>
  <c r="I14" i="3" s="1"/>
  <c r="B10" i="3"/>
  <c r="I10" i="3" s="1"/>
  <c r="E22" i="3"/>
  <c r="B16" i="3"/>
  <c r="I16" i="3" s="1"/>
  <c r="D9" i="3"/>
  <c r="G11" i="3"/>
  <c r="B7" i="3"/>
  <c r="I7" i="3" s="1"/>
  <c r="G10" i="3"/>
  <c r="D12" i="3"/>
  <c r="E18" i="3"/>
  <c r="B11" i="3"/>
  <c r="I11" i="3" s="1"/>
  <c r="B20" i="3"/>
  <c r="I20" i="3" s="1"/>
  <c r="G9" i="3"/>
  <c r="E20" i="3"/>
  <c r="G12" i="3"/>
  <c r="D19" i="3"/>
  <c r="G13" i="3"/>
  <c r="E19" i="3"/>
  <c r="E8" i="3"/>
  <c r="D15" i="3"/>
  <c r="D20" i="3"/>
  <c r="B19" i="3"/>
  <c r="I19" i="3" s="1"/>
  <c r="E11" i="3"/>
  <c r="D18" i="3"/>
  <c r="D8" i="3"/>
  <c r="G22" i="3"/>
  <c r="D10" i="3"/>
  <c r="B417" i="3"/>
  <c r="B423" i="3"/>
  <c r="B27" i="4"/>
  <c r="C27" i="4" s="1"/>
  <c r="F4" i="4" s="1"/>
  <c r="C24" i="4"/>
  <c r="D24" i="4" s="1"/>
  <c r="D23" i="4"/>
  <c r="T39" i="2"/>
  <c r="G24" i="3" s="1"/>
  <c r="B414" i="3"/>
  <c r="I403" i="3"/>
  <c r="B430" i="3"/>
  <c r="I378" i="3"/>
  <c r="I424" i="3"/>
  <c r="I433" i="3"/>
  <c r="I423" i="3"/>
  <c r="I447" i="3"/>
  <c r="B431" i="3"/>
  <c r="B379" i="3"/>
  <c r="I420" i="3"/>
  <c r="I445" i="3"/>
  <c r="B409" i="3"/>
  <c r="B413" i="3"/>
  <c r="I392" i="3"/>
  <c r="I394" i="3"/>
  <c r="I417" i="3"/>
  <c r="I443" i="3"/>
  <c r="I432" i="3"/>
  <c r="B376" i="3"/>
  <c r="I412" i="3"/>
  <c r="I376" i="3"/>
  <c r="I393" i="3"/>
  <c r="I397" i="3"/>
  <c r="I425" i="3"/>
  <c r="B433" i="3"/>
  <c r="B411" i="3"/>
  <c r="I418" i="3"/>
  <c r="B406" i="3"/>
  <c r="I426" i="3"/>
  <c r="I416" i="3"/>
  <c r="B439" i="3"/>
  <c r="I427" i="3"/>
  <c r="B395" i="3"/>
  <c r="I409" i="3"/>
  <c r="B420" i="3"/>
  <c r="B424" i="3"/>
  <c r="I401" i="3"/>
  <c r="B425" i="3"/>
  <c r="I377" i="3"/>
  <c r="B400" i="3"/>
  <c r="B407" i="3"/>
  <c r="I421" i="3"/>
  <c r="I395" i="3"/>
  <c r="I430" i="3"/>
  <c r="I440" i="3"/>
  <c r="B412" i="3"/>
  <c r="B440" i="3"/>
  <c r="I408" i="3"/>
  <c r="I436" i="3"/>
  <c r="I446" i="3"/>
  <c r="I435" i="3"/>
  <c r="I434" i="3"/>
  <c r="B375" i="3"/>
  <c r="B426" i="3"/>
  <c r="B415" i="3"/>
  <c r="I438" i="3"/>
  <c r="B436" i="3"/>
  <c r="B421" i="3"/>
  <c r="B444" i="3"/>
  <c r="B405" i="3"/>
  <c r="B399" i="3"/>
  <c r="I404" i="3"/>
  <c r="B443" i="3"/>
  <c r="B419" i="3"/>
  <c r="B416" i="3"/>
  <c r="B408" i="3"/>
  <c r="B397" i="3"/>
  <c r="I413" i="3"/>
  <c r="B422" i="3"/>
  <c r="I419" i="3"/>
  <c r="B396" i="3"/>
  <c r="I442" i="3"/>
  <c r="B404" i="3"/>
  <c r="I428" i="3"/>
  <c r="I437" i="3"/>
  <c r="I405" i="3"/>
  <c r="B432" i="3"/>
  <c r="I406" i="3"/>
  <c r="B435" i="3"/>
  <c r="I439" i="3"/>
  <c r="B380" i="3"/>
  <c r="I400" i="3"/>
  <c r="I399" i="3"/>
  <c r="B447" i="3"/>
  <c r="B437" i="3"/>
  <c r="I379" i="3"/>
  <c r="B392" i="3"/>
  <c r="B427" i="3"/>
  <c r="I431" i="3"/>
  <c r="B428" i="3"/>
  <c r="B401" i="3"/>
  <c r="I415" i="3"/>
  <c r="B398" i="3"/>
  <c r="I441" i="3"/>
  <c r="B377" i="3"/>
  <c r="I407" i="3"/>
  <c r="I398" i="3"/>
  <c r="B434" i="3"/>
  <c r="B438" i="3"/>
  <c r="I414" i="3"/>
  <c r="I444" i="3"/>
  <c r="I396" i="3"/>
  <c r="B442" i="3"/>
  <c r="B402" i="3"/>
  <c r="B378" i="3"/>
  <c r="B394" i="3"/>
  <c r="I375" i="3"/>
  <c r="I411" i="3"/>
  <c r="B446" i="3"/>
  <c r="B445" i="3"/>
  <c r="I422" i="3"/>
  <c r="I380" i="3"/>
  <c r="I402" i="3"/>
  <c r="B441" i="3"/>
  <c r="B403" i="3"/>
  <c r="B418" i="3"/>
  <c r="B393" i="3"/>
  <c r="I388" i="3"/>
  <c r="B387" i="3"/>
  <c r="E382" i="3"/>
  <c r="B382" i="3"/>
  <c r="E388" i="3"/>
  <c r="I387" i="3"/>
  <c r="I385" i="3"/>
  <c r="B383" i="3"/>
  <c r="E383" i="3"/>
  <c r="I382" i="3"/>
  <c r="E390" i="3"/>
  <c r="B389" i="3"/>
  <c r="B390" i="3"/>
  <c r="I383" i="3"/>
  <c r="E385" i="3"/>
  <c r="B385" i="3"/>
  <c r="I390" i="3"/>
  <c r="B388" i="3"/>
  <c r="I389" i="3"/>
  <c r="I386" i="3"/>
  <c r="E386" i="3"/>
  <c r="B384" i="3"/>
  <c r="I384" i="3"/>
  <c r="E389" i="3"/>
  <c r="E387" i="3"/>
  <c r="E384" i="3"/>
  <c r="B386" i="3"/>
  <c r="A39" i="2"/>
  <c r="B371" i="3"/>
  <c r="I373" i="3"/>
  <c r="B368" i="3"/>
  <c r="I370" i="3"/>
  <c r="I369" i="3"/>
  <c r="D371" i="3"/>
  <c r="D373" i="3"/>
  <c r="F369" i="3"/>
  <c r="I368" i="3"/>
  <c r="D372" i="3"/>
  <c r="F368" i="3"/>
  <c r="F370" i="3"/>
  <c r="F372" i="3"/>
  <c r="D368" i="3"/>
  <c r="I372" i="3"/>
  <c r="F373" i="3"/>
  <c r="B373" i="3"/>
  <c r="I371" i="3"/>
  <c r="B372" i="3"/>
  <c r="D370" i="3"/>
  <c r="B369" i="3"/>
  <c r="B370" i="3"/>
  <c r="F371" i="3"/>
  <c r="D369" i="3"/>
  <c r="F2" i="4" l="1"/>
  <c r="F7" i="4"/>
  <c r="F8" i="4"/>
  <c r="F6" i="4"/>
  <c r="D27" i="4"/>
  <c r="F3" i="4" s="1"/>
  <c r="D32" i="3"/>
  <c r="F453" i="3" s="1"/>
  <c r="F5" i="4"/>
  <c r="F10" i="3"/>
  <c r="F22" i="3"/>
  <c r="F7" i="3"/>
  <c r="F11" i="3"/>
  <c r="F13" i="3"/>
  <c r="F18" i="3"/>
  <c r="F8" i="3"/>
  <c r="F16" i="3"/>
  <c r="F12" i="3"/>
  <c r="F17" i="3"/>
  <c r="F20" i="3"/>
  <c r="F14" i="3"/>
  <c r="F23" i="3"/>
  <c r="F19" i="3"/>
  <c r="F15" i="3"/>
  <c r="F9" i="3"/>
  <c r="F21" i="3"/>
  <c r="F6" i="3"/>
  <c r="G79" i="4" l="1"/>
  <c r="D453" i="3"/>
  <c r="I194" i="3"/>
  <c r="I179" i="3"/>
  <c r="I88" i="3"/>
  <c r="G282" i="4"/>
  <c r="I355" i="3"/>
  <c r="G223" i="4"/>
  <c r="I205" i="3"/>
  <c r="G278" i="4"/>
  <c r="G38" i="4"/>
  <c r="I277" i="3"/>
  <c r="G70" i="4"/>
  <c r="G259" i="4"/>
  <c r="I186" i="3"/>
  <c r="I210" i="3"/>
  <c r="G34" i="4"/>
  <c r="G67" i="4"/>
  <c r="I70" i="3"/>
  <c r="I107" i="3"/>
  <c r="I332" i="3"/>
  <c r="G297" i="4"/>
  <c r="I164" i="3"/>
  <c r="I120" i="3"/>
  <c r="I275" i="3"/>
  <c r="G13" i="4"/>
  <c r="I273" i="3"/>
  <c r="I184" i="3"/>
  <c r="G59" i="4"/>
  <c r="I121" i="3"/>
  <c r="I274" i="3"/>
  <c r="I362" i="3"/>
  <c r="G51" i="4"/>
  <c r="G158" i="4"/>
  <c r="I99" i="3"/>
  <c r="I262" i="3"/>
  <c r="I82" i="3"/>
  <c r="I158" i="3"/>
  <c r="G304" i="4"/>
  <c r="G310" i="4"/>
  <c r="I152" i="3"/>
  <c r="I55" i="3"/>
  <c r="I39" i="3"/>
  <c r="G124" i="4"/>
  <c r="G110" i="4"/>
  <c r="G165" i="4"/>
  <c r="I167" i="3"/>
  <c r="G147" i="4"/>
  <c r="I71" i="3"/>
  <c r="I226" i="3"/>
  <c r="G187" i="4"/>
  <c r="G255" i="4"/>
  <c r="I328" i="3"/>
  <c r="G129" i="4"/>
  <c r="I54" i="3"/>
  <c r="G182" i="4"/>
  <c r="G224" i="4"/>
  <c r="G57" i="4"/>
  <c r="I141" i="3"/>
  <c r="G126" i="4"/>
  <c r="G55" i="4"/>
  <c r="G245" i="4"/>
  <c r="G35" i="4"/>
  <c r="G273" i="4"/>
  <c r="G105" i="4"/>
  <c r="G284" i="4"/>
  <c r="I322" i="3"/>
  <c r="I52" i="3"/>
  <c r="I86" i="3"/>
  <c r="G98" i="4"/>
  <c r="G233" i="4"/>
  <c r="G212" i="4"/>
  <c r="G214" i="4"/>
  <c r="I327" i="3"/>
  <c r="I248" i="3"/>
  <c r="I49" i="3"/>
  <c r="I204" i="3"/>
  <c r="G205" i="4"/>
  <c r="G312" i="4"/>
  <c r="I38" i="3"/>
  <c r="I67" i="3"/>
  <c r="G43" i="4"/>
  <c r="G119" i="4"/>
  <c r="I241" i="3"/>
  <c r="I294" i="3"/>
  <c r="G220" i="4"/>
  <c r="G139" i="4"/>
  <c r="G306" i="4"/>
  <c r="I104" i="3"/>
  <c r="I337" i="3"/>
  <c r="G225" i="4"/>
  <c r="I60" i="3"/>
  <c r="I46" i="3"/>
  <c r="G25" i="4"/>
  <c r="G90" i="4"/>
  <c r="G287" i="4"/>
  <c r="I114" i="3"/>
  <c r="I132" i="3"/>
  <c r="I309" i="3"/>
  <c r="I242" i="3"/>
  <c r="I163" i="3"/>
  <c r="G80" i="4"/>
  <c r="G189" i="4"/>
  <c r="I169" i="3"/>
  <c r="G262" i="4"/>
  <c r="I134" i="3"/>
  <c r="I236" i="3"/>
  <c r="I72" i="3"/>
  <c r="I343" i="3"/>
  <c r="G210" i="4"/>
  <c r="I253" i="3"/>
  <c r="G135" i="4"/>
  <c r="I84" i="3"/>
  <c r="G305" i="4"/>
  <c r="I142" i="3"/>
  <c r="I119" i="3"/>
  <c r="G269" i="4"/>
  <c r="I168" i="3"/>
  <c r="G208" i="4"/>
  <c r="G229" i="4"/>
  <c r="G120" i="4"/>
  <c r="G222" i="4"/>
  <c r="G50" i="4"/>
  <c r="I69" i="3"/>
  <c r="G329" i="4"/>
  <c r="I233" i="3"/>
  <c r="I232" i="3"/>
  <c r="G198" i="4"/>
  <c r="G258" i="4"/>
  <c r="G56" i="4"/>
  <c r="G159" i="4"/>
  <c r="I219" i="3"/>
  <c r="G190" i="4"/>
  <c r="I161" i="3"/>
  <c r="G150" i="4"/>
  <c r="I268" i="3"/>
  <c r="I212" i="3"/>
  <c r="G286" i="4"/>
  <c r="G118" i="4"/>
  <c r="I175" i="3"/>
  <c r="G22" i="4"/>
  <c r="I108" i="3"/>
  <c r="G192" i="4"/>
  <c r="I245" i="3"/>
  <c r="G272" i="4"/>
  <c r="G246" i="4"/>
  <c r="G31" i="4"/>
  <c r="I188" i="3"/>
  <c r="G131" i="4"/>
  <c r="I109" i="3"/>
  <c r="I127" i="3"/>
  <c r="I207" i="3"/>
  <c r="I350" i="3"/>
  <c r="I359" i="3"/>
  <c r="I230" i="3"/>
  <c r="G125" i="4"/>
  <c r="G10" i="4"/>
  <c r="I133" i="3"/>
  <c r="I201" i="3"/>
  <c r="G261" i="4"/>
  <c r="I251" i="3"/>
  <c r="G112" i="4"/>
  <c r="G314" i="4"/>
  <c r="I40" i="3"/>
  <c r="G226" i="4"/>
  <c r="G281" i="4"/>
  <c r="G313" i="4"/>
  <c r="G21" i="4"/>
  <c r="I149" i="3"/>
  <c r="I166" i="3"/>
  <c r="I290" i="3"/>
  <c r="I87" i="3"/>
  <c r="G95" i="4"/>
  <c r="I57" i="3"/>
  <c r="I320" i="3"/>
  <c r="G270" i="4"/>
  <c r="G290" i="4"/>
  <c r="I356" i="3"/>
  <c r="I282" i="3"/>
  <c r="G108" i="4"/>
  <c r="I261" i="3"/>
  <c r="G197" i="4"/>
  <c r="I313" i="3"/>
  <c r="I341" i="3"/>
  <c r="I285" i="3"/>
  <c r="I276" i="3"/>
  <c r="G85" i="4"/>
  <c r="G315" i="4"/>
  <c r="G60" i="4"/>
  <c r="G211" i="4"/>
  <c r="G183" i="4"/>
  <c r="G106" i="4"/>
  <c r="I155" i="3"/>
  <c r="G157" i="4"/>
  <c r="G194" i="4"/>
  <c r="G274" i="4"/>
  <c r="I221" i="3"/>
  <c r="G63" i="4"/>
  <c r="I295" i="3"/>
  <c r="G168" i="4"/>
  <c r="G74" i="4"/>
  <c r="I79" i="3"/>
  <c r="G328" i="4"/>
  <c r="G219" i="4"/>
  <c r="G300" i="4"/>
  <c r="G99" i="4"/>
  <c r="G251" i="4"/>
  <c r="I196" i="3"/>
  <c r="I234" i="3"/>
  <c r="G271" i="4"/>
  <c r="I159" i="3"/>
  <c r="G231" i="4"/>
  <c r="G16" i="4"/>
  <c r="I191" i="3"/>
  <c r="G47" i="4"/>
  <c r="I193" i="3"/>
  <c r="I269" i="3"/>
  <c r="G203" i="4"/>
  <c r="G48" i="4"/>
  <c r="I100" i="3"/>
  <c r="G254" i="4"/>
  <c r="G42" i="4"/>
  <c r="I192" i="3"/>
  <c r="I154" i="3"/>
  <c r="G20" i="4"/>
  <c r="I319" i="3"/>
  <c r="G111" i="4"/>
  <c r="G316" i="4"/>
  <c r="G107" i="4"/>
  <c r="G37" i="4"/>
  <c r="G319" i="4"/>
  <c r="G264" i="4"/>
  <c r="G136" i="4"/>
  <c r="G277" i="4"/>
  <c r="G217" i="4"/>
  <c r="I206" i="3"/>
  <c r="I291" i="3"/>
  <c r="I305" i="3"/>
  <c r="I126" i="3"/>
  <c r="G133" i="4"/>
  <c r="I222" i="3"/>
  <c r="I329" i="3"/>
  <c r="I312" i="3"/>
  <c r="I225" i="3"/>
  <c r="G302" i="4"/>
  <c r="G140" i="4"/>
  <c r="G235" i="4"/>
  <c r="I146" i="3"/>
  <c r="I76" i="3"/>
  <c r="I360" i="3"/>
  <c r="I345" i="3"/>
  <c r="I195" i="3"/>
  <c r="I351" i="3"/>
  <c r="I304" i="3"/>
  <c r="I89" i="3"/>
  <c r="G143" i="4"/>
  <c r="I131" i="3"/>
  <c r="I50" i="3"/>
  <c r="G263" i="4"/>
  <c r="G88" i="4"/>
  <c r="I333" i="3"/>
  <c r="G330" i="4"/>
  <c r="G84" i="4"/>
  <c r="I354" i="3"/>
  <c r="G293" i="4"/>
  <c r="G53" i="4"/>
  <c r="I238" i="3"/>
  <c r="I90" i="3"/>
  <c r="I53" i="3"/>
  <c r="I211" i="3"/>
  <c r="I244" i="3"/>
  <c r="I58" i="3"/>
  <c r="I156" i="3"/>
  <c r="I183" i="3"/>
  <c r="G100" i="4"/>
  <c r="I140" i="3"/>
  <c r="I215" i="3"/>
  <c r="I315" i="3"/>
  <c r="I130" i="3"/>
  <c r="G167" i="4"/>
  <c r="G28" i="4"/>
  <c r="I317" i="3"/>
  <c r="I301" i="3"/>
  <c r="G178" i="4"/>
  <c r="I115" i="3"/>
  <c r="I266" i="3"/>
  <c r="I216" i="3"/>
  <c r="G279" i="4"/>
  <c r="I80" i="3"/>
  <c r="I93" i="3"/>
  <c r="G78" i="4"/>
  <c r="I68" i="3"/>
  <c r="G19" i="4"/>
  <c r="I122" i="3"/>
  <c r="G181" i="4"/>
  <c r="I289" i="3"/>
  <c r="I118" i="3"/>
  <c r="I357" i="3"/>
  <c r="I336" i="3"/>
  <c r="G169" i="4"/>
  <c r="I224" i="3"/>
  <c r="I174" i="3"/>
  <c r="G115" i="4"/>
  <c r="G27" i="4"/>
  <c r="G146" i="4"/>
  <c r="I96" i="3"/>
  <c r="I106" i="3"/>
  <c r="G32" i="4"/>
  <c r="G71" i="4"/>
  <c r="I105" i="3"/>
  <c r="G186" i="4"/>
  <c r="I137" i="3"/>
  <c r="I97" i="3"/>
  <c r="G151" i="4"/>
  <c r="I316" i="3"/>
  <c r="I42" i="3"/>
  <c r="I249" i="3"/>
  <c r="I302" i="3"/>
  <c r="G162" i="4"/>
  <c r="I200" i="3"/>
  <c r="G248" i="4"/>
  <c r="G324" i="4"/>
  <c r="G322" i="4"/>
  <c r="G121" i="4"/>
  <c r="I75" i="3"/>
  <c r="G141" i="4"/>
  <c r="I287" i="3"/>
  <c r="G172" i="4"/>
  <c r="I217" i="3"/>
  <c r="I61" i="3"/>
  <c r="I254" i="3"/>
  <c r="I123" i="3"/>
  <c r="G331" i="4"/>
  <c r="I323" i="3"/>
  <c r="I199" i="3"/>
  <c r="I237" i="3"/>
  <c r="G250" i="4"/>
  <c r="I92" i="3"/>
  <c r="I172" i="3"/>
  <c r="I145" i="3"/>
  <c r="I43" i="3"/>
  <c r="G156" i="4"/>
  <c r="G83" i="4"/>
  <c r="G326" i="4"/>
  <c r="G45" i="4"/>
  <c r="G145" i="4"/>
  <c r="G240" i="4"/>
  <c r="I165" i="3"/>
  <c r="G260" i="4"/>
  <c r="G321" i="4"/>
  <c r="G127" i="4"/>
  <c r="G289" i="4"/>
  <c r="G9" i="4"/>
  <c r="G24" i="4"/>
  <c r="I148" i="3"/>
  <c r="G253" i="4"/>
  <c r="G215" i="4"/>
  <c r="I311" i="3"/>
  <c r="I47" i="3"/>
  <c r="I36" i="3"/>
  <c r="I208" i="3"/>
  <c r="G18" i="4"/>
  <c r="G91" i="4"/>
  <c r="I358" i="3"/>
  <c r="G308" i="4"/>
  <c r="G175" i="4"/>
  <c r="I151" i="3"/>
  <c r="G237" i="4"/>
  <c r="I111" i="3"/>
  <c r="G230" i="4"/>
  <c r="I240" i="3"/>
  <c r="G252" i="4"/>
  <c r="G257" i="4"/>
  <c r="I214" i="3"/>
  <c r="I321" i="3"/>
  <c r="G275" i="4"/>
  <c r="G15" i="4"/>
  <c r="G149" i="4"/>
  <c r="I187" i="3"/>
  <c r="G191" i="4"/>
  <c r="I103" i="3"/>
  <c r="G6" i="4"/>
  <c r="G73" i="4"/>
  <c r="G325" i="4"/>
  <c r="G116" i="4"/>
  <c r="G241" i="4"/>
  <c r="G164" i="4"/>
  <c r="G317" i="4"/>
  <c r="I143" i="3"/>
  <c r="G52" i="4"/>
  <c r="I349" i="3"/>
  <c r="G249" i="4"/>
  <c r="I128" i="3"/>
  <c r="I176" i="3"/>
  <c r="G232" i="4"/>
  <c r="I59" i="3"/>
  <c r="G174" i="4"/>
  <c r="I310" i="3"/>
  <c r="G122" i="4"/>
  <c r="G33" i="4"/>
  <c r="G12" i="4"/>
  <c r="G68" i="4"/>
  <c r="G323" i="4"/>
  <c r="G163" i="4"/>
  <c r="G94" i="4"/>
  <c r="G39" i="4"/>
  <c r="I44" i="3"/>
  <c r="G29" i="4"/>
  <c r="G54" i="4"/>
  <c r="G5" i="4"/>
  <c r="I198" i="3"/>
  <c r="I263" i="3"/>
  <c r="I129" i="3"/>
  <c r="I98" i="3"/>
  <c r="G256" i="4"/>
  <c r="G160" i="4"/>
  <c r="I41" i="3"/>
  <c r="G104" i="4"/>
  <c r="G44" i="4"/>
  <c r="G301" i="4"/>
  <c r="G132" i="4"/>
  <c r="G238" i="4"/>
  <c r="G247" i="4"/>
  <c r="G86" i="4"/>
  <c r="G130" i="4"/>
  <c r="I209" i="3"/>
  <c r="I259" i="3"/>
  <c r="I162" i="3"/>
  <c r="G97" i="4"/>
  <c r="G114" i="4"/>
  <c r="I116" i="3"/>
  <c r="G193" i="4"/>
  <c r="G123" i="4"/>
  <c r="G204" i="4"/>
  <c r="G184" i="4"/>
  <c r="I63" i="3"/>
  <c r="I300" i="3"/>
  <c r="G161" i="4"/>
  <c r="I160" i="3"/>
  <c r="G170" i="4"/>
  <c r="G89" i="4"/>
  <c r="I147" i="3"/>
  <c r="I293" i="3"/>
  <c r="I265" i="3"/>
  <c r="G153" i="4"/>
  <c r="G137" i="4"/>
  <c r="G103" i="4"/>
  <c r="G166" i="4"/>
  <c r="I334" i="3"/>
  <c r="I256" i="3"/>
  <c r="G4" i="4"/>
  <c r="I286" i="3"/>
  <c r="I258" i="3"/>
  <c r="I117" i="3"/>
  <c r="I62" i="3"/>
  <c r="G58" i="4"/>
  <c r="I101" i="3"/>
  <c r="I255" i="3"/>
  <c r="I113" i="3"/>
  <c r="I74" i="3"/>
  <c r="I284" i="3"/>
  <c r="G268" i="4"/>
  <c r="G3" i="4"/>
  <c r="I177" i="3"/>
  <c r="G92" i="4"/>
  <c r="G96" i="4"/>
  <c r="I308" i="3"/>
  <c r="G109" i="4"/>
  <c r="G213" i="4"/>
  <c r="I342" i="3"/>
  <c r="G61" i="4"/>
  <c r="I346" i="3"/>
  <c r="G152" i="4"/>
  <c r="G280" i="4"/>
  <c r="I338" i="3"/>
  <c r="G134" i="4"/>
  <c r="I213" i="3"/>
  <c r="G333" i="4"/>
  <c r="G207" i="4"/>
  <c r="G303" i="4"/>
  <c r="G185" i="4"/>
  <c r="G188" i="4"/>
  <c r="G276" i="4"/>
  <c r="G299" i="4"/>
  <c r="G294" i="4"/>
  <c r="G65" i="4"/>
  <c r="I77" i="3"/>
  <c r="I51" i="3"/>
  <c r="G144" i="4"/>
  <c r="G64" i="4"/>
  <c r="G295" i="4"/>
  <c r="G23" i="4"/>
  <c r="I297" i="3"/>
  <c r="G62" i="4"/>
  <c r="G148" i="4"/>
  <c r="G93" i="4"/>
  <c r="G228" i="4"/>
  <c r="G265" i="4"/>
  <c r="I125" i="3"/>
  <c r="G30" i="4"/>
  <c r="G332" i="4"/>
  <c r="I303" i="3"/>
  <c r="I227" i="3"/>
  <c r="G234" i="4"/>
  <c r="G82" i="4"/>
  <c r="I223" i="3"/>
  <c r="G66" i="4"/>
  <c r="I326" i="3"/>
  <c r="I246" i="3"/>
  <c r="G40" i="4"/>
  <c r="G17" i="4"/>
  <c r="I94" i="3"/>
  <c r="I231" i="3"/>
  <c r="G283" i="4"/>
  <c r="G200" i="4"/>
  <c r="I91" i="3"/>
  <c r="G267" i="4"/>
  <c r="G311" i="4"/>
  <c r="I325" i="3"/>
  <c r="I324" i="3"/>
  <c r="G291" i="4"/>
  <c r="I264" i="3"/>
  <c r="I197" i="3"/>
  <c r="G171" i="4"/>
  <c r="I267" i="3"/>
  <c r="G142" i="4"/>
  <c r="I34" i="3"/>
  <c r="G199" i="4"/>
  <c r="I85" i="3"/>
  <c r="G243" i="4"/>
  <c r="G196" i="4"/>
  <c r="G177" i="4"/>
  <c r="I314" i="3"/>
  <c r="I340" i="3"/>
  <c r="I181" i="3"/>
  <c r="I185" i="3"/>
  <c r="I144" i="3"/>
  <c r="I250" i="3"/>
  <c r="I64" i="3"/>
  <c r="G81" i="4"/>
  <c r="G77" i="4"/>
  <c r="G176" i="4"/>
  <c r="I153" i="3"/>
  <c r="I299" i="3"/>
  <c r="I307" i="3"/>
  <c r="I73" i="3"/>
  <c r="G244" i="4"/>
  <c r="G195" i="4"/>
  <c r="I306" i="3"/>
  <c r="G128" i="4"/>
  <c r="G49" i="4"/>
  <c r="G266" i="4"/>
  <c r="I279" i="3"/>
  <c r="I235" i="3"/>
  <c r="I352" i="3"/>
  <c r="G138" i="4"/>
  <c r="I83" i="3"/>
  <c r="G202" i="4"/>
  <c r="G75" i="4"/>
  <c r="I348" i="3"/>
  <c r="I292" i="3"/>
  <c r="I331" i="3"/>
  <c r="G101" i="4"/>
  <c r="G296" i="4"/>
  <c r="G87" i="4"/>
  <c r="G307" i="4"/>
  <c r="G72" i="4"/>
  <c r="I363" i="3"/>
  <c r="I347" i="3"/>
  <c r="I190" i="3"/>
  <c r="I252" i="3"/>
  <c r="I353" i="3"/>
  <c r="I48" i="3"/>
  <c r="I257" i="3"/>
  <c r="G8" i="4"/>
  <c r="G46" i="4"/>
  <c r="G179" i="4"/>
  <c r="I229" i="3"/>
  <c r="I35" i="3"/>
  <c r="G36" i="4"/>
  <c r="I220" i="3"/>
  <c r="G298" i="4"/>
  <c r="G154" i="4"/>
  <c r="G155" i="4"/>
  <c r="I45" i="3"/>
  <c r="G218" i="4"/>
  <c r="G227" i="4"/>
  <c r="I139" i="3"/>
  <c r="G2" i="4"/>
  <c r="G320" i="4"/>
  <c r="I56" i="3"/>
  <c r="I136" i="3"/>
  <c r="G221" i="4"/>
  <c r="I37" i="3"/>
  <c r="I330" i="3"/>
  <c r="I102" i="3"/>
  <c r="G7" i="4"/>
  <c r="I271" i="3"/>
  <c r="G201" i="4"/>
  <c r="G11" i="4"/>
  <c r="G239" i="4"/>
  <c r="I173" i="3"/>
  <c r="I272" i="3"/>
  <c r="G41" i="4"/>
  <c r="G288" i="4"/>
  <c r="G216" i="4"/>
  <c r="I298" i="3"/>
  <c r="I361" i="3"/>
  <c r="I182" i="3"/>
  <c r="G327" i="4"/>
  <c r="G76" i="4"/>
  <c r="I280" i="3"/>
  <c r="G285" i="4"/>
  <c r="I339" i="3"/>
  <c r="I95" i="3"/>
  <c r="I270" i="3"/>
  <c r="I171" i="3"/>
  <c r="I243" i="3"/>
  <c r="I110" i="3"/>
  <c r="G309" i="4"/>
  <c r="I296" i="3"/>
  <c r="I112" i="3"/>
  <c r="G180" i="4"/>
  <c r="I228" i="3"/>
  <c r="I247" i="3"/>
  <c r="I364" i="3"/>
  <c r="I283" i="3"/>
  <c r="I260" i="3"/>
  <c r="I278" i="3"/>
  <c r="G117" i="4"/>
  <c r="I203" i="3"/>
  <c r="G173" i="4"/>
  <c r="I65" i="3"/>
  <c r="G318" i="4"/>
  <c r="I135" i="3"/>
  <c r="I78" i="3"/>
  <c r="I218" i="3"/>
  <c r="I202" i="3"/>
  <c r="I180" i="3"/>
  <c r="I178" i="3"/>
  <c r="I81" i="3"/>
  <c r="G206" i="4"/>
  <c r="I318" i="3"/>
  <c r="G113" i="4"/>
  <c r="I365" i="3"/>
  <c r="I150" i="3"/>
  <c r="I124" i="3"/>
  <c r="I157" i="3"/>
  <c r="I281" i="3"/>
  <c r="I288" i="3"/>
  <c r="G102" i="4"/>
  <c r="G26" i="4"/>
  <c r="G69" i="4"/>
  <c r="I344" i="3"/>
  <c r="I66" i="3"/>
  <c r="G242" i="4"/>
  <c r="I335" i="3"/>
  <c r="I189" i="3"/>
  <c r="G14" i="4"/>
  <c r="I170" i="3"/>
  <c r="I138" i="3"/>
  <c r="I239" i="3"/>
  <c r="G292" i="4"/>
  <c r="G236" i="4"/>
  <c r="G209" i="4"/>
</calcChain>
</file>

<file path=xl/sharedStrings.xml><?xml version="1.0" encoding="utf-8"?>
<sst xmlns="http://schemas.openxmlformats.org/spreadsheetml/2006/main" count="3461" uniqueCount="1029">
  <si>
    <t>Principles of the SOP and Training Tool</t>
  </si>
  <si>
    <t>The SOP tool allows for the risks to be assessed for each tasks within the work area and have the SOP be generated.</t>
  </si>
  <si>
    <t>SOPs and their risk assessments should be reviewed and updated when anything changes or following an incident.</t>
  </si>
  <si>
    <t>This tool allows new controls to be added including the addition of steps or PPE that translates to an updated SOP</t>
  </si>
  <si>
    <t>Training can also be recorded on the last few columns, understanding that not everyone needs to be trained in all SOPs</t>
  </si>
  <si>
    <t>The Training matrix can be used as a quick check of who should be trained vs who is trained.</t>
  </si>
  <si>
    <t>Security is applied to cells that contain formulas, please use  the word "Safety" to unlock.</t>
  </si>
  <si>
    <t>Step 1</t>
  </si>
  <si>
    <t xml:space="preserve">Enter the Tasks and Equipment in the Register </t>
  </si>
  <si>
    <t>Enter the site and area information to develop an SOP code</t>
  </si>
  <si>
    <t>Each site and area should have its own spreadsheet of SOPs</t>
  </si>
  <si>
    <t>Enter the Site column H</t>
  </si>
  <si>
    <t>Enter the Area for the SOP in column I</t>
  </si>
  <si>
    <t>Enter the number for the SOP, for the site and area</t>
  </si>
  <si>
    <t>Check to see that the formulas in columns B to F are being generated.</t>
  </si>
  <si>
    <t>Enter the task or equipment use description, this will be generated into a drop down list in the SOP template.</t>
  </si>
  <si>
    <t>Step 2</t>
  </si>
  <si>
    <t>Enter details of Risk Assessment</t>
  </si>
  <si>
    <t>Each SOP has been given 10 lines for the data to be entered, do not delete rows.</t>
  </si>
  <si>
    <t>Avoid adding rows unless able to copy down the formulas across the whole sheet.</t>
  </si>
  <si>
    <t>Select the PPE from the drop down, more can be added after the assessment.</t>
  </si>
  <si>
    <t>Enter the hazards.</t>
  </si>
  <si>
    <t>Write a short risk statement of how the hazard will cause harm.</t>
  </si>
  <si>
    <t>Select consequences and likelihood from the drop down options.</t>
  </si>
  <si>
    <t>Identify apporpriate controls that will need to be addressed in the SOP.</t>
  </si>
  <si>
    <t>Step 3</t>
  </si>
  <si>
    <t xml:space="preserve">Enter the work flow </t>
  </si>
  <si>
    <t>Look to keep sentences short, the cell will change to orange when it is likely there are too many characters in the cell.</t>
  </si>
  <si>
    <t>First list what not to do in the "caution do not" column identify and prohibit dangerous practices.</t>
  </si>
  <si>
    <t>Enter the steps the must be taken before the task starts.</t>
  </si>
  <si>
    <t>Consider permits that need to be written.</t>
  </si>
  <si>
    <t>Consider licenses or checks that are required.</t>
  </si>
  <si>
    <t>Enter the task or equipment use steps.</t>
  </si>
  <si>
    <t>Enter the steps needed to turn off, close down, clean or set the area ready for finish.</t>
  </si>
  <si>
    <t>Add any emergency response steps that will be needed, for example use emergency stop.</t>
  </si>
  <si>
    <t>Add photographs and comments to cells in rows 500+ of the SOP template, aligned with the SOP number in column A.</t>
  </si>
  <si>
    <t xml:space="preserve">Step 4 </t>
  </si>
  <si>
    <t>Print new SOP</t>
  </si>
  <si>
    <t>Review the SOP template.</t>
  </si>
  <si>
    <t>Select the appropriate work task or equipment from the drop down in the green box.</t>
  </si>
  <si>
    <t>Reset the filter to hid rows with a "1" in column "I".</t>
  </si>
  <si>
    <t>Review the Print form.</t>
  </si>
  <si>
    <t>Use the printed for to provide detailed information instruction and training, then record the session in the second page.</t>
  </si>
  <si>
    <t>Display printed versions to provide guidance/reminder to those who have been trained.</t>
  </si>
  <si>
    <t>Step 5</t>
  </si>
  <si>
    <t>Update Training records</t>
  </si>
  <si>
    <t>After SOP is signed enter date of training into green training columns (white cells only) within the SOP register sheet.</t>
  </si>
  <si>
    <t>The Training matrix sheet is used to display required training and check training for individuals.</t>
  </si>
  <si>
    <t>Update the required training matrix with an x to identify what training each role requires.</t>
  </si>
  <si>
    <t>Step 6</t>
  </si>
  <si>
    <t>Review every 5 years or when things change</t>
  </si>
  <si>
    <t>Review the details in the Risk register, focus on the hazards, controls and risk, and SOP details.</t>
  </si>
  <si>
    <t>Check the SOP register and update details with new steps or new equipment or changes to risk scores.</t>
  </si>
  <si>
    <t>Reprint the newly reviewed SOP.</t>
  </si>
  <si>
    <t>SOP Register - linked to printable SOP template</t>
  </si>
  <si>
    <t>Take care to select top to bottom in PPE list</t>
  </si>
  <si>
    <t>SOP</t>
  </si>
  <si>
    <t>position</t>
  </si>
  <si>
    <t>Steps</t>
  </si>
  <si>
    <t>Code</t>
  </si>
  <si>
    <t>PPE</t>
  </si>
  <si>
    <t>Select</t>
  </si>
  <si>
    <t>Hazards</t>
  </si>
  <si>
    <t>Risk Statement</t>
  </si>
  <si>
    <t>Risk profile</t>
  </si>
  <si>
    <t>Controls</t>
  </si>
  <si>
    <t>Training Records</t>
  </si>
  <si>
    <t>Site</t>
  </si>
  <si>
    <t>Work Area</t>
  </si>
  <si>
    <t>SOP# for area</t>
  </si>
  <si>
    <t>Title</t>
  </si>
  <si>
    <t>Task / Equipment description</t>
  </si>
  <si>
    <t>PPE details</t>
  </si>
  <si>
    <t>Consequences</t>
  </si>
  <si>
    <t>Likelihood</t>
  </si>
  <si>
    <t>Rating</t>
  </si>
  <si>
    <t>Max</t>
  </si>
  <si>
    <t>Forbidden / Do not</t>
  </si>
  <si>
    <t>Pre-start steps</t>
  </si>
  <si>
    <t>Operational steps</t>
  </si>
  <si>
    <t>Post-Task steps</t>
  </si>
  <si>
    <t>Emergency</t>
  </si>
  <si>
    <t>Calc</t>
  </si>
  <si>
    <t>MIN</t>
  </si>
  <si>
    <t>Name</t>
  </si>
  <si>
    <t>Date Trained</t>
  </si>
  <si>
    <t>Revision due</t>
  </si>
  <si>
    <t>Status</t>
  </si>
  <si>
    <t>Covered in shoes</t>
  </si>
  <si>
    <t>Minor</t>
  </si>
  <si>
    <t>Possible</t>
  </si>
  <si>
    <t>Unlikely</t>
  </si>
  <si>
    <t>Moderate</t>
  </si>
  <si>
    <t>Insignificant</t>
  </si>
  <si>
    <t>Safety Glasses</t>
  </si>
  <si>
    <t>Gloves</t>
  </si>
  <si>
    <t>FOH</t>
  </si>
  <si>
    <t>Step 1. Select SOP name</t>
  </si>
  <si>
    <t>Step 2. Set Filter</t>
  </si>
  <si>
    <t>Filter</t>
  </si>
  <si>
    <t>Filter to remove all with 1</t>
  </si>
  <si>
    <t>Risk Assessment Preview (from SOP register)</t>
  </si>
  <si>
    <t>Step 3. Check that the SOP prints without words over running the cell, look for orange cells in the register</t>
  </si>
  <si>
    <t>Step 4. Print, train and update training records</t>
  </si>
  <si>
    <t>.3</t>
  </si>
  <si>
    <t>.4</t>
  </si>
  <si>
    <t>.5</t>
  </si>
  <si>
    <t xml:space="preserve"> </t>
  </si>
  <si>
    <t>#</t>
  </si>
  <si>
    <t>Column 1</t>
  </si>
  <si>
    <t>Column 2</t>
  </si>
  <si>
    <t>column code</t>
  </si>
  <si>
    <t>Risk calc</t>
  </si>
  <si>
    <t>Standard Operating Procedure (SOP)</t>
  </si>
  <si>
    <t>All operators must be trained and authorised</t>
  </si>
  <si>
    <t>Risk Level</t>
  </si>
  <si>
    <t>Mandatory PPE and Restrictions</t>
  </si>
  <si>
    <t>Immunity required</t>
  </si>
  <si>
    <t>Safety Goggles</t>
  </si>
  <si>
    <t>Face-shield</t>
  </si>
  <si>
    <t>Double eye protection</t>
  </si>
  <si>
    <t>Hearing protection</t>
  </si>
  <si>
    <t>Safety boots</t>
  </si>
  <si>
    <t>Chemical boots</t>
  </si>
  <si>
    <t>Shoe covers</t>
  </si>
  <si>
    <t>Nitrile Gloves</t>
  </si>
  <si>
    <t>Respirator - P2</t>
  </si>
  <si>
    <t>Respirator - P2 or Immunity</t>
  </si>
  <si>
    <t>Half Face Respirator - P2</t>
  </si>
  <si>
    <t>Full Face Respirator - P2</t>
  </si>
  <si>
    <t>Contain loose hair</t>
  </si>
  <si>
    <t>Safety hard hat</t>
  </si>
  <si>
    <t>Coveralls</t>
  </si>
  <si>
    <t>Lab Coat</t>
  </si>
  <si>
    <t>Apron</t>
  </si>
  <si>
    <t>Thermal clothing for long term cold exposure</t>
  </si>
  <si>
    <t>High Visibility clothing</t>
  </si>
  <si>
    <t>No electronic devices</t>
  </si>
  <si>
    <t>Rings and jewellery must not be worn</t>
  </si>
  <si>
    <t>Spill kit required</t>
  </si>
  <si>
    <t>Do not use faulty equipment</t>
  </si>
  <si>
    <t>Potential Hazards</t>
  </si>
  <si>
    <t>Emergency Response</t>
  </si>
  <si>
    <t>Forbidden Actions</t>
  </si>
  <si>
    <t>Pre-operational Steps</t>
  </si>
  <si>
    <t>Operational Steps</t>
  </si>
  <si>
    <t>Post Operational Steps</t>
  </si>
  <si>
    <t>Training Frequency</t>
  </si>
  <si>
    <r>
      <t xml:space="preserve">No personnel are to use this equipment prior to obtaining:
</t>
    </r>
    <r>
      <rPr>
        <sz val="11"/>
        <color theme="1"/>
        <rFont val="Calibri"/>
        <family val="2"/>
      </rPr>
      <t>•</t>
    </r>
    <r>
      <rPr>
        <sz val="11"/>
        <color theme="1"/>
        <rFont val="Calibri"/>
        <family val="2"/>
        <scheme val="minor"/>
      </rPr>
      <t xml:space="preserve">	Competency in the correct use of the equipment
•	Reading and understanding the manufacturer’s instructions/manual
•	Reading the standard operating procedure (SOP)
•	Undergoing thorough practical training while properly supervised</t>
    </r>
  </si>
  <si>
    <t>Operator</t>
  </si>
  <si>
    <t>Trainer</t>
  </si>
  <si>
    <t>Signature</t>
  </si>
  <si>
    <t>Date</t>
  </si>
  <si>
    <t>This SOP is used in conjunction with relevant equipment manuals and manufacturer instructions.</t>
  </si>
  <si>
    <t>Photographs</t>
  </si>
  <si>
    <t>Training Matrix</t>
  </si>
  <si>
    <t>Today</t>
  </si>
  <si>
    <t>Identifies the training provided to team members and when they are due for revision training</t>
  </si>
  <si>
    <t>Select name</t>
  </si>
  <si>
    <t>List of roles expected to enter the work area or conduct the work</t>
  </si>
  <si>
    <t>Role</t>
  </si>
  <si>
    <t>SOPs and required training</t>
  </si>
  <si>
    <t>SOP Training Log</t>
  </si>
  <si>
    <t>Training due</t>
  </si>
  <si>
    <t>x</t>
  </si>
  <si>
    <t>Personnel</t>
  </si>
  <si>
    <t>Yes</t>
  </si>
  <si>
    <t>Person 3</t>
  </si>
  <si>
    <t>Person 4</t>
  </si>
  <si>
    <t>Person 5</t>
  </si>
  <si>
    <t>Person 6</t>
  </si>
  <si>
    <t>Person 7</t>
  </si>
  <si>
    <t>Person 8</t>
  </si>
  <si>
    <t>No</t>
  </si>
  <si>
    <t>Person 9</t>
  </si>
  <si>
    <t>Person 10</t>
  </si>
  <si>
    <t>Person 11</t>
  </si>
  <si>
    <t>Person 12</t>
  </si>
  <si>
    <t>Person 13</t>
  </si>
  <si>
    <t>Person 14</t>
  </si>
  <si>
    <t>Determine the risk rating for each risk event by identifying the consequence and the likelihood rating. The cell where the consequence row and the likelihood column meet gives the risk rating.
Select the Initial Risk Rating with current controls in place and determine if further controls are needed to reduce risk.</t>
  </si>
  <si>
    <t>Event is expected</t>
  </si>
  <si>
    <t>Event will probably occur</t>
  </si>
  <si>
    <t>Event might occur</t>
  </si>
  <si>
    <t>Event could occur but is improbable</t>
  </si>
  <si>
    <t>Event may occur only in exceptional circumstances</t>
  </si>
  <si>
    <t>Almost Certain</t>
  </si>
  <si>
    <t>Likely</t>
  </si>
  <si>
    <t>Rare</t>
  </si>
  <si>
    <t>Loss of life.</t>
  </si>
  <si>
    <t>Severe</t>
  </si>
  <si>
    <r>
      <t xml:space="preserve">Extreme 
</t>
    </r>
    <r>
      <rPr>
        <sz val="11"/>
        <color rgb="FFFF0000"/>
        <rFont val="Calibri"/>
        <family val="2"/>
        <scheme val="minor"/>
      </rPr>
      <t>4</t>
    </r>
  </si>
  <si>
    <r>
      <t xml:space="preserve">High 
</t>
    </r>
    <r>
      <rPr>
        <sz val="11"/>
        <color rgb="FFFFC000"/>
        <rFont val="Calibri"/>
        <family val="2"/>
        <scheme val="minor"/>
      </rPr>
      <t>3</t>
    </r>
  </si>
  <si>
    <r>
      <t xml:space="preserve">Medium 
</t>
    </r>
    <r>
      <rPr>
        <sz val="11"/>
        <color rgb="FFFFFF00"/>
        <rFont val="Calibri"/>
        <family val="2"/>
        <scheme val="minor"/>
      </rPr>
      <t>2</t>
    </r>
  </si>
  <si>
    <t>Serious injury, or work caused illness. Hospital Treatment or Lost Time Injury</t>
  </si>
  <si>
    <t>Major</t>
  </si>
  <si>
    <t>Medical treatment Injury/Illness or resulting in Restricted Work.</t>
  </si>
  <si>
    <r>
      <t xml:space="preserve">Low 
</t>
    </r>
    <r>
      <rPr>
        <sz val="11"/>
        <color rgb="FF92D050"/>
        <rFont val="Calibri"/>
        <family val="2"/>
        <scheme val="minor"/>
      </rPr>
      <t>1</t>
    </r>
  </si>
  <si>
    <t>First aid Treatment or diagnositc tests.
Affects operational processes</t>
  </si>
  <si>
    <t>Localised first aid requirement</t>
  </si>
  <si>
    <t>Risk rating</t>
  </si>
  <si>
    <t>Risk acceptability</t>
  </si>
  <si>
    <t>Response</t>
  </si>
  <si>
    <t>Extreme</t>
  </si>
  <si>
    <t>Unacceptable</t>
  </si>
  <si>
    <t>Activity must not proceed whilst any risks are rated EXTREME
Advise manager immediately and identify ways of reducing risk level.</t>
  </si>
  <si>
    <t>High</t>
  </si>
  <si>
    <t>Activity should not proceed until risk rating reduced.
Identify additional controls to process to reduce risk level.</t>
  </si>
  <si>
    <t>Medium</t>
  </si>
  <si>
    <t>Risk eventuation is tolerable under controlled circumstances</t>
  </si>
  <si>
    <t>Reported to Supervisor 
Risk treatment plan must be in place before activity begins</t>
  </si>
  <si>
    <t>Low</t>
  </si>
  <si>
    <t>Acceptable</t>
  </si>
  <si>
    <t>Monitor the risk for changed conditions.  
No Further Action Required at this stage</t>
  </si>
  <si>
    <t>Select the Hazards, using Yes or No and then select Controls</t>
  </si>
  <si>
    <t>Select Yes / No</t>
  </si>
  <si>
    <t>Hazard</t>
  </si>
  <si>
    <t>Standard Control Measures</t>
  </si>
  <si>
    <t>Work at Height</t>
  </si>
  <si>
    <t>Dust</t>
  </si>
  <si>
    <t>Dust extraction hoods</t>
  </si>
  <si>
    <t>Falling Objects</t>
  </si>
  <si>
    <t>Personal protective coat and hood</t>
  </si>
  <si>
    <t>Moving Objects</t>
  </si>
  <si>
    <t>Donning and Doffing training</t>
  </si>
  <si>
    <t>Pressure</t>
  </si>
  <si>
    <t>Biological</t>
  </si>
  <si>
    <t>Restricted access to biological risk areas</t>
  </si>
  <si>
    <t>Inundation</t>
  </si>
  <si>
    <t>Extraction hoods to avoid inhalation of biological hazard</t>
  </si>
  <si>
    <t>Stored Energy</t>
  </si>
  <si>
    <t>Vaccination of at risk workers</t>
  </si>
  <si>
    <t>Mechanical</t>
  </si>
  <si>
    <t>Use of freezer to reduce risk of infection</t>
  </si>
  <si>
    <t>Electrical</t>
  </si>
  <si>
    <t>Use of Personal protective gloves, glasses and coat.</t>
  </si>
  <si>
    <t>Vibration</t>
  </si>
  <si>
    <t>Decontamination procedures after handling</t>
  </si>
  <si>
    <t>Noise</t>
  </si>
  <si>
    <t>Sharps</t>
  </si>
  <si>
    <t>Sharps removal process using tongs or gloves</t>
  </si>
  <si>
    <t>Temperature</t>
  </si>
  <si>
    <t>Sharps disposal kits</t>
  </si>
  <si>
    <t>Radiation</t>
  </si>
  <si>
    <t>Body Stressing</t>
  </si>
  <si>
    <t>Use trolleys and lifting aids</t>
  </si>
  <si>
    <t>Chemical</t>
  </si>
  <si>
    <t>Employ team lifting</t>
  </si>
  <si>
    <t>Adjust the heights of the work surfaces to suit</t>
  </si>
  <si>
    <t>Use rosters to change work tasks and muscles used</t>
  </si>
  <si>
    <t>Avoid rushed work or extended work</t>
  </si>
  <si>
    <t>Body stressing (assess if hazardous manual task)</t>
  </si>
  <si>
    <t>Minimise repetitive work and static postures</t>
  </si>
  <si>
    <t>Fatigue</t>
  </si>
  <si>
    <t>Allow regular rest breaks</t>
  </si>
  <si>
    <t>Occupational Violence</t>
  </si>
  <si>
    <t>Arrange work area to minimise reaching</t>
  </si>
  <si>
    <t>Psychosocial</t>
  </si>
  <si>
    <t>Isolated work</t>
  </si>
  <si>
    <t>Body Stressing further assessment</t>
  </si>
  <si>
    <t>Check for hazardous manual tasks risk factors</t>
  </si>
  <si>
    <t>These factors interact to increase the risk of injury</t>
  </si>
  <si>
    <t>Count</t>
  </si>
  <si>
    <t>Symbol 1</t>
  </si>
  <si>
    <t>Wording 1</t>
  </si>
  <si>
    <t>Blank 1</t>
  </si>
  <si>
    <t>Symbol 2</t>
  </si>
  <si>
    <t>Wording 2</t>
  </si>
  <si>
    <t>Blank 2</t>
  </si>
  <si>
    <t>Number</t>
  </si>
  <si>
    <t>Work Task / Equipment</t>
  </si>
  <si>
    <t>Acronym</t>
  </si>
  <si>
    <t>Area name</t>
  </si>
  <si>
    <t>Site name</t>
  </si>
  <si>
    <t>Risk level</t>
  </si>
  <si>
    <t>BSP</t>
  </si>
  <si>
    <t>Biological Specimen Preparation Lab</t>
  </si>
  <si>
    <t>6 monthhs</t>
  </si>
  <si>
    <t>Extr</t>
  </si>
  <si>
    <t>WRK</t>
  </si>
  <si>
    <t>Medi</t>
  </si>
  <si>
    <t>Front of House</t>
  </si>
  <si>
    <t>1 year</t>
  </si>
  <si>
    <t xml:space="preserve">Low </t>
  </si>
  <si>
    <t>2 years</t>
  </si>
  <si>
    <t>3 years</t>
  </si>
  <si>
    <t>Thermal clothing during long term cold exposure</t>
  </si>
  <si>
    <t>Role [locked]</t>
  </si>
  <si>
    <t xml:space="preserve">Enter Name and role in Training Matrix </t>
  </si>
  <si>
    <t>Person 1</t>
  </si>
  <si>
    <t>Person 2</t>
  </si>
  <si>
    <t>Role 7</t>
  </si>
  <si>
    <t>Role 8</t>
  </si>
  <si>
    <t>Enter the names of the people in the team</t>
  </si>
  <si>
    <t>Enter the roles in the matrix column headings</t>
  </si>
  <si>
    <t>Select the roles for each name</t>
  </si>
  <si>
    <t>Enter "x" against the SOP training required for each role</t>
  </si>
  <si>
    <t>Select name in the yellow cell</t>
  </si>
  <si>
    <t>Review SOP training currency</t>
  </si>
  <si>
    <t>Step 7</t>
  </si>
  <si>
    <t>In column B Enter the number of the SOP, a dot (".") and then the number of the photograph</t>
  </si>
  <si>
    <t>Within the SOP template choose "Select all" in the filter option</t>
  </si>
  <si>
    <t>Save photographs into the cells in row 484 in columns D to G</t>
  </si>
  <si>
    <t>Throwing or catching or hitting</t>
  </si>
  <si>
    <t>Task duration greater than 1hr</t>
  </si>
  <si>
    <t>Task repeats every 30sec</t>
  </si>
  <si>
    <t>Assess</t>
  </si>
  <si>
    <t>Reaching away or up from body</t>
  </si>
  <si>
    <t>Squatting, kneeling or bending</t>
  </si>
  <si>
    <t>Bend or twist back or neck</t>
  </si>
  <si>
    <t>Wide handle or grip span</t>
  </si>
  <si>
    <t>Rushing or fast movements</t>
  </si>
  <si>
    <t>Select Yes or No Below to Autofill Section D for both Hazards and Controls</t>
  </si>
  <si>
    <t>Hazard Wheel</t>
  </si>
  <si>
    <t>First</t>
  </si>
  <si>
    <t>Second</t>
  </si>
  <si>
    <t>Platform Ladder or Industrial ladder in use</t>
  </si>
  <si>
    <t>Work platform in use</t>
  </si>
  <si>
    <t>Barricade drop zone</t>
  </si>
  <si>
    <t>Steel capped boots</t>
  </si>
  <si>
    <t>Work at Height Permit</t>
  </si>
  <si>
    <t>Work at height trained personnel</t>
  </si>
  <si>
    <t>Fall Arrest harness in use by trained workers</t>
  </si>
  <si>
    <t>Fall arrest suspension rescue plan</t>
  </si>
  <si>
    <t>Traffic management plan</t>
  </si>
  <si>
    <t>Speed limits</t>
  </si>
  <si>
    <t>Loading areas isolated from pedestrians</t>
  </si>
  <si>
    <t>Inspect hydraulic and air hoses for damage</t>
  </si>
  <si>
    <t>Confined space permit entry</t>
  </si>
  <si>
    <t>Confined space entry trained personnel</t>
  </si>
  <si>
    <t>Pallet Racking capacity and inspections</t>
  </si>
  <si>
    <t>Guarded machinery</t>
  </si>
  <si>
    <t>Residual Current Devices / Safety Switches connected</t>
  </si>
  <si>
    <t>Tested and tagged electrical equipment</t>
  </si>
  <si>
    <t>Protection from overloading powerboards</t>
  </si>
  <si>
    <t>Electrical cables are protected from damage</t>
  </si>
  <si>
    <t>Restricted exposure times</t>
  </si>
  <si>
    <t>Hazardous Manual Task</t>
  </si>
  <si>
    <t>Low vibration tools in use</t>
  </si>
  <si>
    <t>Selection of low noise equipment where possible</t>
  </si>
  <si>
    <t>Noisy operations isolated from other workers</t>
  </si>
  <si>
    <t>Forceful effort or heavy loads</t>
  </si>
  <si>
    <t>high or sudden force</t>
  </si>
  <si>
    <t>Restricted exposure times based on noise measurements</t>
  </si>
  <si>
    <t>All personnel nearby wear Hearing protection</t>
  </si>
  <si>
    <t>repetitive or sustained force</t>
  </si>
  <si>
    <t>Escape bolts on all cold rooms</t>
  </si>
  <si>
    <t>repetitive movement</t>
  </si>
  <si>
    <t>Sun protection with shade and clothing</t>
  </si>
  <si>
    <t>Sustained pressure or posture</t>
  </si>
  <si>
    <t>Hot Work permit</t>
  </si>
  <si>
    <t>Sustained or awkward posture</t>
  </si>
  <si>
    <t>Contractor induction</t>
  </si>
  <si>
    <t>Trained Radiation Safety Officers</t>
  </si>
  <si>
    <t>Isolation of radioactive items</t>
  </si>
  <si>
    <t>Use of scoops and apparatus to reduce exposure</t>
  </si>
  <si>
    <t>Selection of low risk chemical where possible</t>
  </si>
  <si>
    <t>Fume extraction hoods</t>
  </si>
  <si>
    <t>Safety Data Sheet and training for workers</t>
  </si>
  <si>
    <t>Movement</t>
  </si>
  <si>
    <t>Repetitive movement</t>
  </si>
  <si>
    <t>Is a body part used to repeat similar movements?</t>
  </si>
  <si>
    <t>Personal protective gloves, coat and hood</t>
  </si>
  <si>
    <t>Posture</t>
  </si>
  <si>
    <t>Sustained posture</t>
  </si>
  <si>
    <t>Is the same positon kept for a prolonged period?</t>
  </si>
  <si>
    <t>Monitoring exposure levels</t>
  </si>
  <si>
    <t>Awkward posture</t>
  </si>
  <si>
    <t>Is the posture uncomfortable or unnatural?</t>
  </si>
  <si>
    <t>Storage of chemicals in bunded areas</t>
  </si>
  <si>
    <t>Force</t>
  </si>
  <si>
    <t>Repetitive force</t>
  </si>
  <si>
    <t>Is force is used reteatedly?</t>
  </si>
  <si>
    <t>Segregation of incompatable chemicals</t>
  </si>
  <si>
    <t>Sustained force</t>
  </si>
  <si>
    <t>Is force is applied continually?</t>
  </si>
  <si>
    <t>Spark arresters on gas bottles</t>
  </si>
  <si>
    <t>Gas bottles stored upright and restrained</t>
  </si>
  <si>
    <t>High force</t>
  </si>
  <si>
    <t>Is increased muscle effort is required?</t>
  </si>
  <si>
    <t>Qualified and trained workers</t>
  </si>
  <si>
    <t>Sudden force</t>
  </si>
  <si>
    <t>Are there jerky or unexpected movements?</t>
  </si>
  <si>
    <t>Is vibration an issue?</t>
  </si>
  <si>
    <t>Scheduling work to minimise fatigue</t>
  </si>
  <si>
    <t>Security Officer on call</t>
  </si>
  <si>
    <t xml:space="preserve">Provide additional support </t>
  </si>
  <si>
    <t>Scheduled contact times and response</t>
  </si>
  <si>
    <t>Sat phone for field trips</t>
  </si>
  <si>
    <t>Additional supplies of food and water</t>
  </si>
  <si>
    <t/>
  </si>
  <si>
    <t>[Organisation Logo]</t>
  </si>
  <si>
    <t>Workshop</t>
  </si>
  <si>
    <t>ALP</t>
  </si>
  <si>
    <t>Alpha</t>
  </si>
  <si>
    <t>BET</t>
  </si>
  <si>
    <t>Beta</t>
  </si>
  <si>
    <t>GAM</t>
  </si>
  <si>
    <t>Gamma</t>
  </si>
  <si>
    <t>DEL</t>
  </si>
  <si>
    <t>Delta</t>
  </si>
  <si>
    <t>ZET</t>
  </si>
  <si>
    <t>Zeta</t>
  </si>
  <si>
    <t>WHS Risk Assessment</t>
  </si>
  <si>
    <t>WHS Risk Assessment Matrix</t>
  </si>
  <si>
    <t>Laboratory Entry and Exit</t>
  </si>
  <si>
    <t>Entering the BSP Laboratory as a visitor or lab worker to view area or start normal work activities</t>
  </si>
  <si>
    <t>Contractor laboratory access</t>
  </si>
  <si>
    <t xml:space="preserve">Entering the BSP Laboratory as a contractor or Museum employee to conduct or review contractor activities </t>
  </si>
  <si>
    <t>Receiving and moving biological specimens</t>
  </si>
  <si>
    <t>Incoming biological specimens are received from public or personnel and stored ready for processing.</t>
  </si>
  <si>
    <t>Biological infection</t>
  </si>
  <si>
    <t xml:space="preserve">Infection caused by exposure to biological material resulting in illness </t>
  </si>
  <si>
    <t>Chemical exposure</t>
  </si>
  <si>
    <t>Chemical exposure caused by chemical splash or spill resulting in skin irritation</t>
  </si>
  <si>
    <t>Sharp cutting tools or needles</t>
  </si>
  <si>
    <t>Sharps caused by scalpel or needle use resulting in laceration or needlestick injury</t>
  </si>
  <si>
    <t>Eye injury and/or infection</t>
  </si>
  <si>
    <t>Items flick into worker's eyes</t>
  </si>
  <si>
    <t>Either vaccination or immunity to biological risks present or wearing of a P2 mask
Wear laboratory coat to prevent clothing contamination
Wear safety glasses to prevent eye contamination</t>
  </si>
  <si>
    <t>Do not remove PPE unless in an emergency</t>
  </si>
  <si>
    <t>Obtain approval to enter laboratory with authorised personnel</t>
  </si>
  <si>
    <t>Enter through door and ensure door is secured following entry</t>
  </si>
  <si>
    <t>Collect equipment and decontaminate according to SOP</t>
  </si>
  <si>
    <t>If alarm sounds for freezer or other systems, immediately stop work and inform facilities personnel</t>
  </si>
  <si>
    <t>Follow procedures for use of chemical and wear required gloves. Glasses and laboratory coat</t>
  </si>
  <si>
    <t>Do not consume or bring food into the laboratory</t>
  </si>
  <si>
    <t>Wear covered in shoes and restrain loose hair and secure loose clothing</t>
  </si>
  <si>
    <t>Check and proceed only if the extraction system is operating, with the red light on near the soak tank</t>
  </si>
  <si>
    <t>Remove shoe covers if worn and decontaminate the bottom of shoes according to SOP</t>
  </si>
  <si>
    <t>Clean up and prepare for contractor access and leave laboratory</t>
  </si>
  <si>
    <t>Only authorised and trained personnel are permitted to handle cutting tools or needles</t>
  </si>
  <si>
    <t>Do not remove anything without decontamination</t>
  </si>
  <si>
    <t>Put on the P2 mask if proof of immunity to Q Fever is not registered or readily available</t>
  </si>
  <si>
    <t>Check and proceed only if the freezer temperature reading is less than - 18 degrees C</t>
  </si>
  <si>
    <t>Remove laboratory coat and place in laundry container</t>
  </si>
  <si>
    <t>If skin is exposed to chemical flush the affected area with water or use emergency shower</t>
  </si>
  <si>
    <t>Wear safety glasses or face shield</t>
  </si>
  <si>
    <t>Do not perform any activity without authority</t>
  </si>
  <si>
    <t>Store personal items in the storage area, leave all items that cannot be decontaminated in the clean zone.</t>
  </si>
  <si>
    <t>Remove gloves and wash hands using antibacterial soap</t>
  </si>
  <si>
    <t>If skin exposed to biological matter wash with antibacterial soap</t>
  </si>
  <si>
    <t>No access outside the hours 7am-6pm, unless authorised</t>
  </si>
  <si>
    <t>Select appropriate size clean laboratory coat and secure</t>
  </si>
  <si>
    <t>Remove safety glasses, clean and put in personal storage receptacle</t>
  </si>
  <si>
    <t>If eyes are exposed to liquid or chemical, use eyewash to rinse eyes</t>
  </si>
  <si>
    <t>Put on safety glasses</t>
  </si>
  <si>
    <t>Collect personal items from storage area and exit through door</t>
  </si>
  <si>
    <t>Seek medical treatment for exposure</t>
  </si>
  <si>
    <t>Wash hands or use hand sanitizer and put on gloves</t>
  </si>
  <si>
    <t>Remove face mask and dispose in general waste receptacle and use hand sanitizer</t>
  </si>
  <si>
    <t>WHS Team member</t>
  </si>
  <si>
    <t>Bioscience Manager</t>
  </si>
  <si>
    <t>Collection Manager</t>
  </si>
  <si>
    <t>Technician</t>
  </si>
  <si>
    <t>Scientist</t>
  </si>
  <si>
    <t>Dock Manager</t>
  </si>
  <si>
    <t>Sharp cutting tools</t>
  </si>
  <si>
    <t>Sharps caused by contractor work tools</t>
  </si>
  <si>
    <t>Either vaccination or immunity to biological risks present or wearing of a P2 mask.
All high risk laboratory tasks are suspended during contractor work.
Wear safety glasses to prevent eye contamination</t>
  </si>
  <si>
    <t xml:space="preserve">If alarm sounds for freezer or other systems, immediately stop work and inform facilities personnel. </t>
  </si>
  <si>
    <t xml:space="preserve">Follow procedures for use of chemical and wear required gloves. </t>
  </si>
  <si>
    <t>Wear covered in shoes</t>
  </si>
  <si>
    <t>Check and clean the bottom of shoes using 70% alcohol wipes</t>
  </si>
  <si>
    <t>Clean up and leave laboratory</t>
  </si>
  <si>
    <t>Secure loose clothing and restrain loose hair</t>
  </si>
  <si>
    <t>Remove safety glasses, clean and put in storage receptacle</t>
  </si>
  <si>
    <t>Move tools and equipment into the clean zone within the laboratory</t>
  </si>
  <si>
    <t>Wash hands using antibacterial soap</t>
  </si>
  <si>
    <t>Leave all items that cannot be decontaminated with 70% alcohol in the clean zone</t>
  </si>
  <si>
    <t>Exit through door</t>
  </si>
  <si>
    <t>Wash hands or use hand sanitizer</t>
  </si>
  <si>
    <t>Do not receive biological specimens without authority</t>
  </si>
  <si>
    <t>Contact Bioscience Manager for authority to move item or collect item</t>
  </si>
  <si>
    <t>Ensure the specimen is double bagged (placed in a plastic bag and sealed in a large zip lock bag) where possible</t>
  </si>
  <si>
    <t>Clean and sterilise isolation area, trolleys and containers used using 1% Virkon, leaving it on for 10 minutes</t>
  </si>
  <si>
    <t>If an emergency occurs place items into the quarantine freezer and follow fire warden instructions</t>
  </si>
  <si>
    <t>Do not move unfixed biological specimens without authority</t>
  </si>
  <si>
    <t>Gather PPE and appropriately immune personnel</t>
  </si>
  <si>
    <t>If the specimen is poorly contained, bag the specimen in an isolated area that can be decontaminated</t>
  </si>
  <si>
    <t>Remove PPE and dispose in contaminated waste receptacle</t>
  </si>
  <si>
    <t>Immediately wash affected area if specimen comes into contact with personal clothing or skin</t>
  </si>
  <si>
    <t>Do not return contaminated items back to public</t>
  </si>
  <si>
    <t>Isolate specimen and cover if possible. Keep unauthorised personnel clear</t>
  </si>
  <si>
    <t>Place specimens with spines or venom in a box or wrap with foam inside 2nd bag, and apply a clear warning label</t>
  </si>
  <si>
    <t>Remove barriers from isolation area</t>
  </si>
  <si>
    <t>Clean up any spills or arrange for clean up using appropriate cleaning agent</t>
  </si>
  <si>
    <t>Arrange for appropriate trolley and containers to transport the specimen</t>
  </si>
  <si>
    <t>Place a paper copy of the receipt into a zip lock bag, facing outwards, inside of bag or box containing the specimen</t>
  </si>
  <si>
    <t>Return trolleys and containers to storage location</t>
  </si>
  <si>
    <t>Detail contact information and specimen details of customer into receipt book and photocopy receipt</t>
  </si>
  <si>
    <t>Move specimen to the BSP walk-in freezer for quarantine storage</t>
  </si>
  <si>
    <t>Add contact information and specimen details into CRM</t>
  </si>
  <si>
    <t>Boxed or foam wrapping of animals with sharp spines or venom</t>
  </si>
  <si>
    <t>Use of covered in shoes to protect feed from dropped objects</t>
  </si>
  <si>
    <t>Use mechanical aids and team lifting as appropriate</t>
  </si>
  <si>
    <t>Only immunised, authorised and trained personnel are permitted to handles untreated biological specimens
Wear laboratory coat to prevent clothing contamination. 
Wear safety glasses to prevent eye contamination</t>
  </si>
  <si>
    <t>Workers contract Zoonotic disease from biological specimens</t>
  </si>
  <si>
    <t>Manual handling</t>
  </si>
  <si>
    <t>Injury from lifting heavy items</t>
  </si>
  <si>
    <t>Falling items</t>
  </si>
  <si>
    <t>Specimen or item falls onto worker's foot</t>
  </si>
  <si>
    <t>Sharp spines and venom</t>
  </si>
  <si>
    <t>Exposure to sharp spines or venom resulting in injury</t>
  </si>
  <si>
    <t>Use of Walk In Freezer</t>
  </si>
  <si>
    <t>Using the Freezer to store biological specimens</t>
  </si>
  <si>
    <t>Temperature extremes</t>
  </si>
  <si>
    <t>Worker trapped in freezer</t>
  </si>
  <si>
    <t>Slippery floor</t>
  </si>
  <si>
    <t>Slips and falls on icy floor</t>
  </si>
  <si>
    <t>Workers contract Q Fever from biological specimens</t>
  </si>
  <si>
    <t>Do not work alone without informing others in lab.
Escape bolt is operational</t>
  </si>
  <si>
    <t>Do not prop open the freezer door</t>
  </si>
  <si>
    <t>Determine if a Nally bin used for smaller specimens is required</t>
  </si>
  <si>
    <t>Turn the light on inside the freezer, open the door to the freezer</t>
  </si>
  <si>
    <t>Ensure objects are stored to allow free access to all parts of the freezer</t>
  </si>
  <si>
    <t>If an emergency occurs place items into the freezer and follow fire warden instructions</t>
  </si>
  <si>
    <t>Non-slip shoes, keep access way clear</t>
  </si>
  <si>
    <t>Do not work in the BSP freezer without informing others</t>
  </si>
  <si>
    <t>Label the specimen or Nally bin with a description, date and owner</t>
  </si>
  <si>
    <t>Check that the escape bolt is functional</t>
  </si>
  <si>
    <t>Ensure that no-one is in the freezer and dermestid room</t>
  </si>
  <si>
    <t>If trapped, turn the bolt to the right of the exit door to release the door latch and escape</t>
  </si>
  <si>
    <t>Use mechanical aids and team lifting as appropriate
Use of Nally bins to store items</t>
  </si>
  <si>
    <t>Do not access without authorisation</t>
  </si>
  <si>
    <t>Attach the label in an externally visible position</t>
  </si>
  <si>
    <t>Enter the freezer and pull the freezer door closed</t>
  </si>
  <si>
    <t>Close the freezer door and the dermestid door</t>
  </si>
  <si>
    <t>If the bolt in the freezer does not work ring the bell and call out to other worker in lab</t>
  </si>
  <si>
    <t>All personnel entering the freezer for high risk work must be immune to Q Fever</t>
  </si>
  <si>
    <t>Do not place anything in front of the dermisted door</t>
  </si>
  <si>
    <t>Inform others in the laboratory or loading dock of anticipated entry in the BSP freezer</t>
  </si>
  <si>
    <t>Identify where the specimen will be stored</t>
  </si>
  <si>
    <t>Check bolt is in the door latch to keep the door closed and turn the BSP freezer light off</t>
  </si>
  <si>
    <t>Remove trip hazards and object obstructing access</t>
  </si>
  <si>
    <t>If the motor does not start and the temperature does not reduce, check the doors are properly closed</t>
  </si>
  <si>
    <t>Seek assistance to lift heavy bins or specimens</t>
  </si>
  <si>
    <t>Inform Honeywell and nearby staff of freezer exit</t>
  </si>
  <si>
    <t>Move specimen into walk-in freezer</t>
  </si>
  <si>
    <t>Document changes on the freezer inventory</t>
  </si>
  <si>
    <t>Extreme 4</t>
  </si>
  <si>
    <t>High 3</t>
  </si>
  <si>
    <t>Medium 2</t>
  </si>
  <si>
    <t>Low 1</t>
  </si>
  <si>
    <t>Triage of Specimens in the BSP freezer</t>
  </si>
  <si>
    <t>Taxidermy and Natural History Specimen Preparation of key specimens in Freezer</t>
  </si>
  <si>
    <t>Biological material</t>
  </si>
  <si>
    <t>Workers contract infection from biological specimens</t>
  </si>
  <si>
    <t>Dropped items</t>
  </si>
  <si>
    <t>Tool falls onto worker's foot</t>
  </si>
  <si>
    <t xml:space="preserve">Residue of frozen material </t>
  </si>
  <si>
    <t>Workers clothing becoming contaminated</t>
  </si>
  <si>
    <t>Only immunised, authorised and trained personnel are permitted into the lab.
Wear laboratory coat to prevent clothing contamination. 
Wear safety glasses to prevent eye contamination</t>
  </si>
  <si>
    <t>Do not work in the freezer without another in the lab</t>
  </si>
  <si>
    <t>Access freezer following SOP for BSP Freezer Entry and Exit</t>
  </si>
  <si>
    <t>Use lifting aids or team lifting techniques to move items in, out and within freezer</t>
  </si>
  <si>
    <t>Move items into storage or processing area</t>
  </si>
  <si>
    <t>Use of trolleys and Nally bins</t>
  </si>
  <si>
    <t>Identify if additional assistance is required to move items or hold the freezer door open</t>
  </si>
  <si>
    <t>Use clear communication to discuss the movements planned and need to stop</t>
  </si>
  <si>
    <t>Clean up any debris or spills</t>
  </si>
  <si>
    <t>If trapped in the freezer, turn the bolt to the right of the exit door to escape</t>
  </si>
  <si>
    <t>Use of non-slip shoes, keep access way clear</t>
  </si>
  <si>
    <t>Identify lifting equipment and set up for use</t>
  </si>
  <si>
    <t>Ensure that frozen specimens remain cold until needed</t>
  </si>
  <si>
    <t>Check that the freezer door is secure</t>
  </si>
  <si>
    <t>Use of lab coats and cleaning processes</t>
  </si>
  <si>
    <t>Inform others of entry into the BSP walk in freezer</t>
  </si>
  <si>
    <t>Inspect the specimen and determine which will be retained, kept or processed</t>
  </si>
  <si>
    <t>Dispose of specimens that are not being retained in contaminated waste bin</t>
  </si>
  <si>
    <t>Re-bag and if necessary refresh labels for specimens that are being retained</t>
  </si>
  <si>
    <t>Clinical Waste Movement and Pick Up</t>
  </si>
  <si>
    <t>Biologically contaminated waste collection, storage, and movement for disposal</t>
  </si>
  <si>
    <t>Item falls onto worker's foot</t>
  </si>
  <si>
    <t>Contaminated bin handle</t>
  </si>
  <si>
    <t>Workers' hands are contaminated by residual biological material</t>
  </si>
  <si>
    <t>Security</t>
  </si>
  <si>
    <t>Workers or others access contaminated waste bin without appropriate protection</t>
  </si>
  <si>
    <t>Use of special pathological waste containers and bagging items</t>
  </si>
  <si>
    <t>Do not open contaminated waste bin</t>
  </si>
  <si>
    <t>All biological waste that could be contaminated is sealed in a yellow clinical waste bag</t>
  </si>
  <si>
    <t>Facilities Dock Manager ensures that a vaccinated and trained person is available for pick up</t>
  </si>
  <si>
    <t>Collect an empty clinical waste bin from the waste collection agency</t>
  </si>
  <si>
    <t>Immediately wash affected area if contaminated items come into contact with personal clothing or skin</t>
  </si>
  <si>
    <t>Do not leave clinical waste unattended or unsecured</t>
  </si>
  <si>
    <t>All biological clinical waste is to be preserved until pick up, usually in a fridge or freezer</t>
  </si>
  <si>
    <t>Clinical waste collection agency calls 30 minutes ahead of pick up time</t>
  </si>
  <si>
    <t>Move the empty clinical waste bin to the clinical waste bin waiting area</t>
  </si>
  <si>
    <t>Use antibacterial soap to remove contamination and report incident</t>
  </si>
  <si>
    <t>Use of gloves to avoid touching contaminated items with bare hands</t>
  </si>
  <si>
    <t>Do not leave biological waste out of cold for &gt; 8 hours</t>
  </si>
  <si>
    <t>All other contaminated waste, such as hand towels and PPE to be collected in a yellow clinical waste container</t>
  </si>
  <si>
    <t>The full clinical waste bin is moved from cold storage into an appropriate and secure waiting area</t>
  </si>
  <si>
    <t>Remove and dispose of PPE and clean up material in clinical waste bin</t>
  </si>
  <si>
    <t>Clinical waste bin is stored in a secure freezer and waiting area until moved for pick up and is never left unattended or unsecured</t>
  </si>
  <si>
    <t>All sharps waste to be collected in a yellow sharps container</t>
  </si>
  <si>
    <t>Dock personnel to clear the path of travel from the clinical waste waiting area to the dock pick up area</t>
  </si>
  <si>
    <t>Close all doors as appropriate</t>
  </si>
  <si>
    <t>Dispose of clean up material in clinical waste bin</t>
  </si>
  <si>
    <t>All bagged contaminated waste and sharps waste bins to be collected in a large clinical waste bin for pick up</t>
  </si>
  <si>
    <t>When the waste collection agency arrives confirm that a vaccinated person is available to move the clinical waste bin</t>
  </si>
  <si>
    <t>Monitor the remaining capacity of the clinical waste bin and arrange for pick up when near to full</t>
  </si>
  <si>
    <t>Vaccinated person to collect the clinical waste bin from the secure waiting area and give to waste collection agency</t>
  </si>
  <si>
    <t>Designated personnel to inform dock personnel of the requirement for clinical waste pick up</t>
  </si>
  <si>
    <t>Clinical waste collection agency to provide invoices to the Facilities Dock Manager for processing</t>
  </si>
  <si>
    <t xml:space="preserve">Use of special pathological waste containers and bagging items
Use of gloves to avoid touching contaminated items with bare hands
Wear laboratory coat to prevent clothing contamination. </t>
  </si>
  <si>
    <t>Do not recap a needle</t>
  </si>
  <si>
    <t>Select the appropriate knife, scalpel or needle for the work planned</t>
  </si>
  <si>
    <t>Keep clear of others, communicate when moving behind another person with a blade or needle</t>
  </si>
  <si>
    <t>Clean the scalpel or blade with antiseptic cleaning solution</t>
  </si>
  <si>
    <t>If cut immediately remove gloves and wash the wound with antiseptic solution</t>
  </si>
  <si>
    <t>Use of trolleys and lifting equipment to move heavy or awkward items to required location</t>
  </si>
  <si>
    <t>Do not use blunt knives and scalpels</t>
  </si>
  <si>
    <t>Ensure the sharps equipment is clean or new or assembled as required</t>
  </si>
  <si>
    <t>Use dominant hand to operate the blade or needle, keeping non-dominant hand clear</t>
  </si>
  <si>
    <t>Dispose of used needles or blunt scalpel blades</t>
  </si>
  <si>
    <t>Seek assistance from a first aid officer</t>
  </si>
  <si>
    <t>Wear safety glasses or face shield to prevent eye contamination</t>
  </si>
  <si>
    <t>Do not leave needles or scalpels out after use</t>
  </si>
  <si>
    <t>Organise a holding medium (such as foam) to hold uncapped needles and scalpels between use</t>
  </si>
  <si>
    <t>Hold the sharp with the fingers grasped around the handle and clear of the blade or needle</t>
  </si>
  <si>
    <t>Dry knife/s and scalpels and put away in storage, check and search for missing knives</t>
  </si>
  <si>
    <t>If needed remove lab coat and PPE and exit the laboratory for medical assistance</t>
  </si>
  <si>
    <t>Do not throw or catch knives or catch dropped sharps</t>
  </si>
  <si>
    <t>Safely move all required equipment to the work area</t>
  </si>
  <si>
    <t>Move knife or needle to specimen with steady and precise movements</t>
  </si>
  <si>
    <t>Check the ground for any dropped sharps, and dispose of if found</t>
  </si>
  <si>
    <t>Report all needlestick injuries</t>
  </si>
  <si>
    <t>Avoid quick or jerky movements</t>
  </si>
  <si>
    <t>Designated personnel advise Facilities Dock Manager of the required pickup and disposal</t>
  </si>
  <si>
    <t>Cut away from the body and away from hands</t>
  </si>
  <si>
    <t>Facilities Dock Manager raises a work order to coordinate sharps pickup with clinical waste pickup</t>
  </si>
  <si>
    <t xml:space="preserve">In between use set down the needle or scalpel in a holding medium (such as foam) to avoid inadvertent contact </t>
  </si>
  <si>
    <t>When changing a scalpel blade, use the scalpel blade removal unit</t>
  </si>
  <si>
    <t>Sharps use and disposal</t>
  </si>
  <si>
    <t>Using scalpels and needles and disposal into sharps kits</t>
  </si>
  <si>
    <t>Workers contract illness biological specimens</t>
  </si>
  <si>
    <t>Skin penetrating injury from use of needles, knives or scalpels</t>
  </si>
  <si>
    <t>Chemical handling &amp; storage</t>
  </si>
  <si>
    <t>Using chemicals, decanting chemicals and moving chemicals in and out of storage</t>
  </si>
  <si>
    <t>Chemical exposure to eye</t>
  </si>
  <si>
    <t>Chemical splashes or flicks into worker's eyes</t>
  </si>
  <si>
    <t>Container falls onto worker's foot</t>
  </si>
  <si>
    <t>Chemical exposure through skin</t>
  </si>
  <si>
    <t>Chemical splash or spill causes skin irritation</t>
  </si>
  <si>
    <t>All personnel performing laboratory work in the laboratory must be immune to Q Fever</t>
  </si>
  <si>
    <t>Do not pour waste chemical down the drain</t>
  </si>
  <si>
    <t>Read SDS and become familiar with all aspects relating to the use of chemicals</t>
  </si>
  <si>
    <t>Remove chemical container from the chemical storage area</t>
  </si>
  <si>
    <t>Move bulk chemical back into storage area</t>
  </si>
  <si>
    <t>If in Eyes, Hold eye open and rinse slowly and gently with water for 15-20 minutes</t>
  </si>
  <si>
    <t>Use of trolley or Dolley to move large chemical containers to required location</t>
  </si>
  <si>
    <t>Do not purchase chemicals without SDS &amp; Risk Assessment</t>
  </si>
  <si>
    <t>Know the location and use of the chemical spill kit</t>
  </si>
  <si>
    <t>Safely move chemical to preparation area</t>
  </si>
  <si>
    <t>Ensure the chemical cabinet door is closed</t>
  </si>
  <si>
    <t>Remove contact lenses, if present after 5 minutes, then continue rinsing eye</t>
  </si>
  <si>
    <t>Use of safety glasses to minimise splashes into eyes</t>
  </si>
  <si>
    <t>Do not remove chemicals from lab without authority</t>
  </si>
  <si>
    <t>Identify when to use Dolley's and the correct method of moving chemical, consider team lifting</t>
  </si>
  <si>
    <t>Use appropriate chemical containers</t>
  </si>
  <si>
    <t>Wash decanting equipment and items used with the chemical</t>
  </si>
  <si>
    <t>If on skin or clothing: Take off contaminated clothing. Rinse skin with plenty of water for 15-20 minutes</t>
  </si>
  <si>
    <t>Use of covered in shoes to protect feet from dropped objects</t>
  </si>
  <si>
    <t>Identify the appropriate area to use the chemical based on the need for ventilation or space</t>
  </si>
  <si>
    <t>Decant only the quantity of chemical required and label the container</t>
  </si>
  <si>
    <t>Remove globes and wash hands</t>
  </si>
  <si>
    <t>If swallowed. Call poison control centre or doctor for advice, have person sip a glass of water if able to swallow</t>
  </si>
  <si>
    <t>Use of gloves and smaller quantities to avoid large spills</t>
  </si>
  <si>
    <t>Use chemical safely</t>
  </si>
  <si>
    <t>Do not induce vomiting unless instructed to by poison control or doctor</t>
  </si>
  <si>
    <t>Workers know the location and use of spill kit</t>
  </si>
  <si>
    <t>Do not store chemicals in the fume cupboard</t>
  </si>
  <si>
    <t>Check that the fume cupboard has been inspected within the previous 12 months</t>
  </si>
  <si>
    <t>Move specimen and or chemical into fume cupboard</t>
  </si>
  <si>
    <t>Put chemicals not being used for processing into storage</t>
  </si>
  <si>
    <t>Stop and wash skin if exposed to specimen or chemical</t>
  </si>
  <si>
    <t>Use trolleys to move large specimens to fume cupboard</t>
  </si>
  <si>
    <t>Do not store specimens in the fume cupboard</t>
  </si>
  <si>
    <t>Turn the fume cupboard on and check that it has airflow</t>
  </si>
  <si>
    <t>Lower the sash or air intake vent if available</t>
  </si>
  <si>
    <t>Wash equipment and tools</t>
  </si>
  <si>
    <t>Stop and advise others if fumes are detected outside of fume cupboard</t>
  </si>
  <si>
    <t>Use of safety glasses or face shield to minimise splashes into eyes</t>
  </si>
  <si>
    <t>Do not lean into fume cupboard unless it is empty</t>
  </si>
  <si>
    <t>Clean the area within the fume cupboard if needed</t>
  </si>
  <si>
    <t>Perform specimen preparation work or decanting as required</t>
  </si>
  <si>
    <t>Put away all trolleys and lifting equipment</t>
  </si>
  <si>
    <t>Stop using the fume cupboard if the airflow stops</t>
  </si>
  <si>
    <t>Gather equipment required for the work</t>
  </si>
  <si>
    <t>Specimens and chemicals can be kept in the fume cupboard during processing, with the fume cupboard left on</t>
  </si>
  <si>
    <t>Remove debris from the Fume cupboard</t>
  </si>
  <si>
    <t>Wipe down and clean away biological matter, spills and splashes</t>
  </si>
  <si>
    <t>Use spill kit on chemical spills or rinse away if slight</t>
  </si>
  <si>
    <t>Sterilise the Fume cupboard inside and outside using a 1% Virkon®S solution, leaving on for 10 minutes</t>
  </si>
  <si>
    <t>Do not hang items from the Nederman arm</t>
  </si>
  <si>
    <t>Check that the Nederman ventilation system has been inspected within the previous 12 months</t>
  </si>
  <si>
    <t>Move specimen or work onto a table or area within reach of the Nederman ventilation system arm</t>
  </si>
  <si>
    <t>Once work is complete, put away any chemicals and specimens</t>
  </si>
  <si>
    <t>Turn off and tag out if the Nederman arm does not operate properly</t>
  </si>
  <si>
    <t>Use trolleys to move large specimens to table</t>
  </si>
  <si>
    <t>Do not swing arm quickly or use jerky movements</t>
  </si>
  <si>
    <t>Turn the Nederman ventilation system on and check that it has airflow</t>
  </si>
  <si>
    <t>Turn on the Nederman ventilation system and position the arm so that funnel is 30cm from working surface</t>
  </si>
  <si>
    <t>Turn off ventilation and move the Nederman arm away from the table or specimen</t>
  </si>
  <si>
    <t>Clean the Nederman ventilation system arm and vent if needed</t>
  </si>
  <si>
    <t>Conduct work, repositioning the opening of the Nederman ventilation system to remove fumes and dusts</t>
  </si>
  <si>
    <t>Wipe down and clean the Nederman ventilation system arm to remove surface biological matter</t>
  </si>
  <si>
    <t>Sterilise the Nederman ventilation system arm and vent using a 1% Virkon®S solution, leaving on for 10 minutes</t>
  </si>
  <si>
    <t>Tuck the Nederman arm up and away from work area</t>
  </si>
  <si>
    <t>Laboratory trolleys are cleaned after use</t>
  </si>
  <si>
    <t>Do not ride on the trolley / dolley</t>
  </si>
  <si>
    <t>Select the appropriate trolley / dolley for the load based on size and weight</t>
  </si>
  <si>
    <t>Move trolley into position</t>
  </si>
  <si>
    <t>Clean the trolley / dolley after use</t>
  </si>
  <si>
    <t>Turn off and tag out if the trolley or dolley becomes damaged or does not operate properly</t>
  </si>
  <si>
    <t>Do not stand on the trolley / dolley</t>
  </si>
  <si>
    <t>Inspect trolley / dolley for damage and/or wear prior to use.</t>
  </si>
  <si>
    <t>Lock the casters on the trolley if available</t>
  </si>
  <si>
    <t>Sterilise as appropriate using 1% Virkon, leaving on for 10 minutes</t>
  </si>
  <si>
    <t>Team lifting and use of bins to minimise lifting requirements</t>
  </si>
  <si>
    <t>Do not pull heavy loads</t>
  </si>
  <si>
    <t>Ensure that the load will not topple from or overload the trolley</t>
  </si>
  <si>
    <t>Safely lift and move the item onto the trolley /dolley, use team lifting if heavy or awkward</t>
  </si>
  <si>
    <t>Unlock trolley / dolley wheels</t>
  </si>
  <si>
    <t>All personnel performing laboratory work in the laboratory must be immune to Q Fever
Skin and clothing are protected from biological materials</t>
  </si>
  <si>
    <t>Do not overload the trolley / dolley</t>
  </si>
  <si>
    <t>Clear the path of travel</t>
  </si>
  <si>
    <t>Unlock the wheels (if applicable)</t>
  </si>
  <si>
    <t>Reposition trolley / dolley into storage</t>
  </si>
  <si>
    <t>Push to move the trolley / dolley</t>
  </si>
  <si>
    <t>Reapply the wheel locks (if applicable)</t>
  </si>
  <si>
    <t>Stop and open doors as required</t>
  </si>
  <si>
    <t>Position the trolley / dolley near destination, leaving space for lifting</t>
  </si>
  <si>
    <t>Apply wheel locks, if available</t>
  </si>
  <si>
    <t>Safely lift and move the item from the trolley / dolley, use team lifting if heavy or awkward</t>
  </si>
  <si>
    <t>Do not hose external body of Soak Tank (not waterproof)</t>
  </si>
  <si>
    <t>Ensure clear path of travel to transport bones to Soak Tank</t>
  </si>
  <si>
    <t>Carry bones over to the Soak Tank</t>
  </si>
  <si>
    <t>When soak timer has stopped, press 'UP' to open and raise the tray</t>
  </si>
  <si>
    <t>Turn off and tag out if the Soak Tank becomes damaged or does not operate properly</t>
  </si>
  <si>
    <t>Use trolley to move heavy bones to Soak Tank</t>
  </si>
  <si>
    <t>Do not load more than 50kg into Soak Tank</t>
  </si>
  <si>
    <t>Ensure Soak Tank is powered before use (plugged in and POWER on)</t>
  </si>
  <si>
    <t>Place bones onto the raised tray of the Soak Tank</t>
  </si>
  <si>
    <t>Remove cleaned bones from tray and place back on the table or sink</t>
  </si>
  <si>
    <t>Stop and treat burns if contact with hot water occurs, running under cold water for 20 minutes</t>
  </si>
  <si>
    <t>Do not fill Soak Tank past the maximum fill line</t>
  </si>
  <si>
    <t>Press the UP arrow to open the Soak Tank</t>
  </si>
  <si>
    <t>Press 'DOWN' to lower the basket into the water and close the Soak Tank</t>
  </si>
  <si>
    <t>Turn power OFF Soak Tank</t>
  </si>
  <si>
    <t>Stop and treat chemical exposure following SDS instructions (use the emergency shower or eyewash)</t>
  </si>
  <si>
    <t>Do not turn on heating element without water in tank</t>
  </si>
  <si>
    <t>Fill with water to the bottom of the raised basket</t>
  </si>
  <si>
    <t>Set soak time and press RUN/STOP to start soaking bones</t>
  </si>
  <si>
    <t>Allow to cool soak tank to cool</t>
  </si>
  <si>
    <t>Use of gloves and apron to minimise contact with hot liquid</t>
  </si>
  <si>
    <t>Set temp: select 'MODE'; 'P1'; press 'UP' or 'DOWN' to desired temp (between 60 -95*C)</t>
  </si>
  <si>
    <t>When timer has stopped, open Soak Tank press 'UP' to open and raise the tray to check that the bones are cleaned</t>
  </si>
  <si>
    <t>Attach hose and drain tank, raise and remove internal tray and then scoop out larger material</t>
  </si>
  <si>
    <t>Press RUN/STOP to start heating</t>
  </si>
  <si>
    <t>Transfer to sink the bones that are cleaned.</t>
  </si>
  <si>
    <t>Rinse out soak tank and apply 1% Virkon®S solution, wait 10 minutes and rinse</t>
  </si>
  <si>
    <t>If required, add sodium perborate at the appropriate concentration for the specimen</t>
  </si>
  <si>
    <t>Repeat process if more time is required to clean bones</t>
  </si>
  <si>
    <t>Do not climb on/sit on table</t>
  </si>
  <si>
    <t>Ensure table is charged, ready for use - the light is green</t>
  </si>
  <si>
    <t>Bring specimen over to and place on table, use lifting aids for heavy specimens</t>
  </si>
  <si>
    <t>Remove all biological material and clean the table</t>
  </si>
  <si>
    <t>Turn off and tag out if the Necropsy Table becomes damaged or does not operate properly</t>
  </si>
  <si>
    <t>Use trolleys to move heavy specimens to table</t>
  </si>
  <si>
    <t>Turn the table ON at the switch on the bottom leg</t>
  </si>
  <si>
    <t>Dissect specimen following Sharps use and disposal SOP</t>
  </si>
  <si>
    <t>Empty waste bucket/s clean the bucket tray</t>
  </si>
  <si>
    <t>Use of safety glasses or face shield to minimise impact and/or splashes into eyes</t>
  </si>
  <si>
    <t>Ensure operational area is free of obstacles and trip hazards</t>
  </si>
  <si>
    <t>Continue to monitor bucket and periodically empty into the sink when it becomes filled with waste product</t>
  </si>
  <si>
    <t>Disinfect the table, bucket tray and bucket/s using 1% Virkon, leaving on for 10 minutes</t>
  </si>
  <si>
    <t>Unlock wheels of table</t>
  </si>
  <si>
    <t>Move prepared specimens to where needed</t>
  </si>
  <si>
    <t>Using the control pad, adjust the height of the table back to it's preoperational position</t>
  </si>
  <si>
    <t>Move table to area where work will be conducted</t>
  </si>
  <si>
    <t>Turn the table OFF at the switch on the bottom leg</t>
  </si>
  <si>
    <t>Lock all wheels into place</t>
  </si>
  <si>
    <t>Unlock table wheels</t>
  </si>
  <si>
    <t>Using the control pad, adjust the height of the table to a height appropriate for work to be conducted</t>
  </si>
  <si>
    <t>Reposition table to provide clear thoroughfare</t>
  </si>
  <si>
    <t>Ensure bucket is empty and placed directly under table drain</t>
  </si>
  <si>
    <t>Lock table wheels</t>
  </si>
  <si>
    <t>Place trolley with tools and equipment (cutting knives, scalpel blades, mesh bags etc) to be easily accessible</t>
  </si>
  <si>
    <t>Plug the charging cable into the plug</t>
  </si>
  <si>
    <t>Prepare the specimen or other for movement</t>
  </si>
  <si>
    <t>Turn the light on inside the freezer</t>
  </si>
  <si>
    <t>Brush off clothing to remove potential dermestid attachment</t>
  </si>
  <si>
    <t>Stop and exit dermestid room, close the door and exit freezer, checking to ensure door is closed</t>
  </si>
  <si>
    <t>Do not work alone without informing others in lab Ensure that escape bolt is operational</t>
  </si>
  <si>
    <t>Inform others in the laboratory of freezer entry</t>
  </si>
  <si>
    <t>Open the door to the freezer</t>
  </si>
  <si>
    <t>Decontaminate before exiting lab and following warden instructions</t>
  </si>
  <si>
    <t>Do not place anything in front of the demisted door</t>
  </si>
  <si>
    <t>Allow the door to close behind you</t>
  </si>
  <si>
    <t>Close the freezer door, including the dermestid door</t>
  </si>
  <si>
    <t>Check bolt is in the door latch to keep the door closed</t>
  </si>
  <si>
    <t>Turn the freezer light off</t>
  </si>
  <si>
    <t>Open the door to the Dermestid room and switch on light, enter and close the door</t>
  </si>
  <si>
    <t>Either vaccination or immunity to biological risks present or wearing of a P2 mask.
Wear laboratory coat to prevent clothing contamination. 
Wear safety glasses to prevent eye contamination</t>
  </si>
  <si>
    <t>Do not remove the mop or mop bucket from the lab</t>
  </si>
  <si>
    <t>Move smaller items from the floor and store</t>
  </si>
  <si>
    <t>Determine the volume of disinfectant solution required at the appropriate dilution rate</t>
  </si>
  <si>
    <t>Rinse out sprayer and mixing containers</t>
  </si>
  <si>
    <t>Do not participate if not vaccinated against Q Fever</t>
  </si>
  <si>
    <t>Collect cleaning equipment and chemicals from storage</t>
  </si>
  <si>
    <t>Measure out the appropriate quantity of Virkon®S powder to achieve the desired dilution rate</t>
  </si>
  <si>
    <t>Put away cleaning equipment</t>
  </si>
  <si>
    <t>Add the Virkon®S powder to the water and stir thoroughly to dissolve</t>
  </si>
  <si>
    <t>Put away Virkon®S powder in chemical storage cabinet</t>
  </si>
  <si>
    <t>Using a mechanical sprayer, apply Virkon®S solution at an application rate of 300ml/m2</t>
  </si>
  <si>
    <t>Follow requirements on SDS, wear lab coat and nitrile gloves</t>
  </si>
  <si>
    <t>Wait 10 minutes for Virkon®S to decontaminate surfaces</t>
  </si>
  <si>
    <t>Wear both safety glasses and a face shield to prevent chemical spray and liquid from affecting eyes</t>
  </si>
  <si>
    <t>Use of Respirator and work conducted under Fume cupboard</t>
  </si>
  <si>
    <t>Do not operate with visitors or contractors nearby</t>
  </si>
  <si>
    <t>Turn on the Fume cupboard and ensure it is working and has finished its pre-purge before starting</t>
  </si>
  <si>
    <t>Place the 20 litre drum or 5 litre carboy containing concentrated formalin under the Fume cupboard</t>
  </si>
  <si>
    <t>Transport the 20 litre drum or 5 litre carboy containing concentrated formalin back to its designated storage location</t>
  </si>
  <si>
    <t>Skin or eye contact with formalin or formaldehyde must be thoroughly rinsed with water</t>
  </si>
  <si>
    <t>Wear safety glasses or face shield to prevent eye damage</t>
  </si>
  <si>
    <t>Do not perform outside of the fume cupboard</t>
  </si>
  <si>
    <t>Prepare work area under the Fume cupboard ensuring adequate space and remove clutter</t>
  </si>
  <si>
    <t>Decant the required amount of formalin into a measuring container</t>
  </si>
  <si>
    <t xml:space="preserve">Inspect the work area surfaces for any spills, leaks, or other potential hazards </t>
  </si>
  <si>
    <t>Immediately stop, rinse and remove PPE. Use eyewash or emergency shower for 15-20 minutes if on eyes or body</t>
  </si>
  <si>
    <t>Do not work near heat and sources of ignition</t>
  </si>
  <si>
    <t>Organise equipment for the task including containers, measuring devices, and mixing tools</t>
  </si>
  <si>
    <t>Transfer the measured amount of formalin from the measuring container into the container to be filled</t>
  </si>
  <si>
    <t>Clean and sanitize all equipment used in the preparation process, including measuring containers and mixing tools</t>
  </si>
  <si>
    <t>If Fume cupboard stops working, stop the task immediately and close all containers</t>
  </si>
  <si>
    <t>Do not let formalin enter drains</t>
  </si>
  <si>
    <t>Ensure equipment is clean, intact, and suitable for use with formalin</t>
  </si>
  <si>
    <t>Add the amount of water needed to dilute the formalin to a 10% solution</t>
  </si>
  <si>
    <t>Remove and dispose of PPE and clean up material in contaminated waste bin</t>
  </si>
  <si>
    <t>If a chemical spill occurs, use the spill kit to absorb chemical and warn others and evacuate the area for large spills</t>
  </si>
  <si>
    <t>Verify the concentration of formalin solution required for the task</t>
  </si>
  <si>
    <t>Mix the formalin and water solution to ensure uniform concentration</t>
  </si>
  <si>
    <t>Label the container with the contents and concentration (e.g. 10% formalin solution)</t>
  </si>
  <si>
    <t>Include on the label the date of preparation, and any relevant hazard warnings</t>
  </si>
  <si>
    <t>All personnel must be immune to Q Fever or Rabies if working on bats</t>
  </si>
  <si>
    <t>Ensure specimen is labelled with a registration tag or other identification</t>
  </si>
  <si>
    <t>Transport formalin and ethanol back to the designated storage location/s</t>
  </si>
  <si>
    <t>Select and clean suitable chemical containers, measuring and mixing tools and place in fume cupboard</t>
  </si>
  <si>
    <t>If the specimen has teeth (microbats), place a stick across the mouth to keep it open while fixing</t>
  </si>
  <si>
    <t>Inspect the work area surfaces for any spills, leaks, or other potential hazards</t>
  </si>
  <si>
    <t>Prepare a fixing tray (paper lined plastic tray) if required for positioning</t>
  </si>
  <si>
    <t>Inject specimen every 5 cm of body with extra in the gut region</t>
  </si>
  <si>
    <t>Rinse fume cupboard of any small spills of formalin or ethanol</t>
  </si>
  <si>
    <t>Use of nitrile gloves and smaller quantities to avoid large spills</t>
  </si>
  <si>
    <t>Fill appropriately-sized syringes with the formalin solution and place in Fume cupboard</t>
  </si>
  <si>
    <t>If positioning (frogs or reptiles), position specimen as desired, with paper towelling over it, dampen with formalin</t>
  </si>
  <si>
    <t>Paper towels that are soaked with formalin must be rinsed in tap water before disposal in contaminated waste</t>
  </si>
  <si>
    <t>If storing in a jar (rats or birds), wet down the fur with water to aid immersion, place in jar with formalin</t>
  </si>
  <si>
    <t>Use of diluted formaldehyde to make 10% formalin</t>
  </si>
  <si>
    <t>Schedule to check that positioned specimen is becoming rigid, if not repeat injection process</t>
  </si>
  <si>
    <t>When fixation is complete, remove the specimen from the tray or jar and rinse thoroughly in tap water</t>
  </si>
  <si>
    <t>Turn off Fume cupboard and wash hands using antibacterial soap</t>
  </si>
  <si>
    <t>Smaller specimens can be transferred into 70% ethanol (2L jar max)</t>
  </si>
  <si>
    <t xml:space="preserve">Turn on the ventilation system and ensure it is working </t>
  </si>
  <si>
    <t>Select and clean suitable chemical containers, measuring mixing tools and cutting implements</t>
  </si>
  <si>
    <t>Move remaining specimen/s back to the designated storage location/s</t>
  </si>
  <si>
    <t>Skin chemical exposure must be thoroughly rinsed with water use emergency shower for large exposure</t>
  </si>
  <si>
    <t>Wear safety glasses or face shield to prevent eye contamination and impact damage</t>
  </si>
  <si>
    <t>Prepare the area by clearing and cleaning the surrounding area</t>
  </si>
  <si>
    <t>Prepare Trolleys to move prepared specimen</t>
  </si>
  <si>
    <t>Double bag any organs and flesh not required for collection into clinical waste receptacle</t>
  </si>
  <si>
    <t>Remove specimen from freezer and locate in ventilated area for defrosting</t>
  </si>
  <si>
    <t>Remove chemical from storage and measure out required quantity of chemical</t>
  </si>
  <si>
    <t>Move chemicals back to the designated storage location</t>
  </si>
  <si>
    <t>Eye chemical exposure must be thoroughly rinsed with water using eyewash</t>
  </si>
  <si>
    <t>Cut open skin and remove internal organs</t>
  </si>
  <si>
    <t>Clean down operational areas, trolleys, equipment, knives and scalpels</t>
  </si>
  <si>
    <t>Remove skin, turning specimen to avoid awkward postures, set skin aside for further treatment.</t>
  </si>
  <si>
    <t>Turn off ventilation system</t>
  </si>
  <si>
    <t>De-flesh the skeleton using knives and scalpels and put skeleton aside for further treatment</t>
  </si>
  <si>
    <t>If the ventilation system stops working, stop the task immediately and put specimen away</t>
  </si>
  <si>
    <t xml:space="preserve">Either vaccination or immunity to biological risks present or wearing of a P2 mask.
Wear laboratory coat to prevent clothing contamination. </t>
  </si>
  <si>
    <t>Do not remove the contaminated items from the lab</t>
  </si>
  <si>
    <t>Move contaminated item to an appropriate decontamination surface near the clean zone</t>
  </si>
  <si>
    <t>Put towels into the soiled laundry receptacle</t>
  </si>
  <si>
    <t>Wear safety glasses to prevent eye contamination and impact damage</t>
  </si>
  <si>
    <t>Store unused Virkon®S solution for later use, discard if no longer pink</t>
  </si>
  <si>
    <t>Wash gloved hands with anti-bacterial soap or replace gloves</t>
  </si>
  <si>
    <t>Rinse out empty sprayer and mixing containers</t>
  </si>
  <si>
    <t>Set up an area within the clean zone to receive the decontaminated item</t>
  </si>
  <si>
    <t>Remove sufficient towels from storage and place near decontamination surface and in clean zone</t>
  </si>
  <si>
    <t>Turn item to ensure all surface areas are in contact with Virkon®S</t>
  </si>
  <si>
    <t>Wait 10 minutes for Virkon®S to decontaminate items</t>
  </si>
  <si>
    <t>Use clean towels to dry decontaminated item and move it into clean area ready for removal from laboratory</t>
  </si>
  <si>
    <t>Use of trolleys and laundry bins to minimise lifting and carrying.</t>
  </si>
  <si>
    <t>Do not open laundry bag to inspect contents</t>
  </si>
  <si>
    <t>Identify schedule for laundry pick up and ensure that appropriate personnel are available</t>
  </si>
  <si>
    <t>Enter laboratory, and close laboratory door</t>
  </si>
  <si>
    <t>Place fresh laundry bags into the laundry bins and add fresh plastic liners</t>
  </si>
  <si>
    <t>If soiled laundry makes contact with exposed skin, wash area with soap immediately.</t>
  </si>
  <si>
    <t>All personnel that handle BSP laboratory laundry must be immune to Q Fever</t>
  </si>
  <si>
    <t>Do not push down on laundry within hamper</t>
  </si>
  <si>
    <t>Communicate the laundry pick up schedule with laboratories that use laundry</t>
  </si>
  <si>
    <t>Remove the each full laundry bag from the hamper, pull the drawstrings together</t>
  </si>
  <si>
    <t>Collect fresh linen and place into storage area within laboratory</t>
  </si>
  <si>
    <t>Arrange laundry bags to be moved to pick up point 30 minutes ahead of contractor collection</t>
  </si>
  <si>
    <t>Keep head clear of opening to avoid breathing in the air escaping from the laundry bag</t>
  </si>
  <si>
    <t>Collect all soiled linen laundry bags that are closed</t>
  </si>
  <si>
    <t>Move soiled linen into large hamper located at dock</t>
  </si>
  <si>
    <t>Either vaccination or immunity to biological risks present or wearing of a P2 mask.
Wear laboratory coat to prevent clothing contamination</t>
  </si>
  <si>
    <t>Instruct Museum staff to clear visitors and unvaccinated museum personnel from the area</t>
  </si>
  <si>
    <t>Instruct all visitors and unmasked or unvaccinated museum staff to leave the area</t>
  </si>
  <si>
    <t>Place Nally bins and biological spill kit and smaller items for decontamination on the trolley</t>
  </si>
  <si>
    <t>If in Eyes, go to emergency eyewash, hold eye open and rinse slowly and gently with water for 15-20 minutes</t>
  </si>
  <si>
    <t>Do not participate if not either masked or vaccinated</t>
  </si>
  <si>
    <t>Determine the size and specimen involved with the biological spill and vaccination requirement</t>
  </si>
  <si>
    <t>Gather the larger part/s and place into clinical waste bags</t>
  </si>
  <si>
    <t>Use the service elevator to transport the loaded trolley to the BSP laboratory</t>
  </si>
  <si>
    <t>Notify Bioscience Manager to consider specimen retention</t>
  </si>
  <si>
    <t>Apply absorbent material to any liquid and place contaminated material into the clinical waste bag</t>
  </si>
  <si>
    <t>Put the clinical waste in the BSP Laboratory clinical waste bin and the used towels into the soiled laundry receptacle</t>
  </si>
  <si>
    <t>Add the 10mg Virkon®S sachet to the 1L of water in the spray bottle, and stir thoroughly to dissolve</t>
  </si>
  <si>
    <t>Using the sprayer, apply Virkon®S solution at an application rate of 300ml/m2</t>
  </si>
  <si>
    <t>Decontaminate Nally bins and trolley</t>
  </si>
  <si>
    <t>Collect a trolley from the BSP laboratory, and decontaminate it</t>
  </si>
  <si>
    <t>Pick up and move items to ensure all surface areas are in contact with Virkon®S</t>
  </si>
  <si>
    <t>Decant unused Virkon®S solution for later use, discard if no longer pink</t>
  </si>
  <si>
    <t>Load the trolley with the biological spill kit, clinical waste bags, clean towels and 2 or more empty Nally bins</t>
  </si>
  <si>
    <t>Decontaminate own and other's shoes, if necessary</t>
  </si>
  <si>
    <t>Rinse out empty Virkon®S sprayer and refill with 1L of water</t>
  </si>
  <si>
    <t>Use the service lift to move the loaded trolley to the location of the biological spill or specimen</t>
  </si>
  <si>
    <t>Use 10mg scoop and empty sachets to restock the used VirKon®S powder sachet in the Biological Spill Kit</t>
  </si>
  <si>
    <t>Use clean towels to dry decontaminated surfaces and place into a Nally bin</t>
  </si>
  <si>
    <t>Double bag the clinical waste bag and place in a separate Nally bin</t>
  </si>
  <si>
    <t>Non-slip shoes</t>
  </si>
  <si>
    <t>Do not obstruct access to the shower and eyewash</t>
  </si>
  <si>
    <t>Ensure there are no items obstructing access to shower/eyewash station, the area is to be kept clear and accessible</t>
  </si>
  <si>
    <t>Remove eyewash caps, activate the eyewash lever to start the flow of the water</t>
  </si>
  <si>
    <t>Wipe up any water spills, ensure water stops drippling</t>
  </si>
  <si>
    <t>Inform facilities if the water does not turn off or there is a leak, evacuate the laboratory</t>
  </si>
  <si>
    <t>Use of testing equipment to avoid reaching and trolleys for bucket if heavy</t>
  </si>
  <si>
    <t>Do not test without bucket to catch the water</t>
  </si>
  <si>
    <t>Check for any visible damage, leaks, or signs of wear and tear</t>
  </si>
  <si>
    <t>Allow the water to flow for between 1 - 3 minutes to flush the system and ensure consistent pressure of water flow</t>
  </si>
  <si>
    <t>Update testing register</t>
  </si>
  <si>
    <t>Stop laboratory activities if the emergency shower or eyewash does not work</t>
  </si>
  <si>
    <t>Place empty bucket on the ground to the side of the shower, attach hose to the pipe opening to capture the water</t>
  </si>
  <si>
    <t>Turn off eye wash and allow water to drain into bucket, reattach eye wash caps</t>
  </si>
  <si>
    <t>Put away the bucket, hose and shower cape</t>
  </si>
  <si>
    <t>Check to ensure that water runs clear, and empty into the sink</t>
  </si>
  <si>
    <t>Position the shower cape over the shower head, pull the lever to turn the shower on</t>
  </si>
  <si>
    <t>Push leaver up to turn off the shower, ensure the water has stopped, lower and remove the shower cape</t>
  </si>
  <si>
    <t>Fume cupboard</t>
  </si>
  <si>
    <t>Using the fume cupboard to keep the worker from being exposed to chemical and biological fumes</t>
  </si>
  <si>
    <t>Eye splash</t>
  </si>
  <si>
    <t>Nederman Arm</t>
  </si>
  <si>
    <t>Using the movable Nederman arm remove fumes from the breathing space of the worker</t>
  </si>
  <si>
    <t>Trolley / Dolley and pneumatic trolley use</t>
  </si>
  <si>
    <t>Using the wheeled or pneumatic trolley to lift and move heavy or awkward items</t>
  </si>
  <si>
    <t>Mobile equipment</t>
  </si>
  <si>
    <t>Trolley runs into a person</t>
  </si>
  <si>
    <t>Biological Infection from fluids and residue on trolley</t>
  </si>
  <si>
    <t>Soak Tank</t>
  </si>
  <si>
    <t>Using the soak tank to remove flesh from bones</t>
  </si>
  <si>
    <t>Injury from lifting heavy bones</t>
  </si>
  <si>
    <t xml:space="preserve">Exposure from liquid splash into worker's eyes </t>
  </si>
  <si>
    <t>Burns to skin</t>
  </si>
  <si>
    <t>Burn injury from hot liquid splashes</t>
  </si>
  <si>
    <t>Necropsy table</t>
  </si>
  <si>
    <t>Using the Necropsy table to dissect animals</t>
  </si>
  <si>
    <t>Workers contract illness from biological specimens</t>
  </si>
  <si>
    <t>Eye infection</t>
  </si>
  <si>
    <t>Dermestid room use</t>
  </si>
  <si>
    <t>Using the dermestid room to prepare specimens</t>
  </si>
  <si>
    <t>Restricted entry and exit</t>
  </si>
  <si>
    <t>Becoming trapped in restricted space</t>
  </si>
  <si>
    <t>General Operation and Cleaning</t>
  </si>
  <si>
    <t>Workers clean up work area upon completion of the task and clean up areas on regular basis. The laboratory is not included on cleaner's schedule.</t>
  </si>
  <si>
    <t>Slips and falls on wet floor</t>
  </si>
  <si>
    <t>Items fall onto worker's foot</t>
  </si>
  <si>
    <t>Skin irritation from chemical exposure</t>
  </si>
  <si>
    <t>Chemical or liquid splash into worker's eyes</t>
  </si>
  <si>
    <t>Preparation of Formalin</t>
  </si>
  <si>
    <t>SOP is written - part of formalin fixing procedure</t>
  </si>
  <si>
    <t>Chemical exposure - inhalation</t>
  </si>
  <si>
    <t>formaldehyde exposure during mixing</t>
  </si>
  <si>
    <t xml:space="preserve">Chemical exposure - Eye injury </t>
  </si>
  <si>
    <t>Chemical splash into worker's eyes</t>
  </si>
  <si>
    <t>Chemical exposure - skin irritation</t>
  </si>
  <si>
    <t>Chemical Spill</t>
  </si>
  <si>
    <t>Workers splash chemical onto floor or bench</t>
  </si>
  <si>
    <t>Formalin fixing</t>
  </si>
  <si>
    <t>Specimen Preparation Formalin fixing</t>
  </si>
  <si>
    <t>Formalin exposure on skin</t>
  </si>
  <si>
    <t>Formalin inhalation exposure resulting in impaired lung function</t>
  </si>
  <si>
    <t xml:space="preserve">Fire </t>
  </si>
  <si>
    <t>Ignition of formaldehyde resulting in fire and burns</t>
  </si>
  <si>
    <t>Hazardous manual tasks from lifting heavy items resulting in injury</t>
  </si>
  <si>
    <t>Sharps and needle use</t>
  </si>
  <si>
    <t>Needlestick injury</t>
  </si>
  <si>
    <t>Specimen Preparation</t>
  </si>
  <si>
    <t>Preparation of specimens for collection or taxidermy using chemicals, preserving the skin and skeleton</t>
  </si>
  <si>
    <t>Eye damage or infection</t>
  </si>
  <si>
    <t>Chemical contact with skin or eyes resulting injury</t>
  </si>
  <si>
    <t>Decontamination</t>
  </si>
  <si>
    <t>Removing items from the BSP laboratory, including mobile phones, tools and equipment</t>
  </si>
  <si>
    <t>Eye infection and impact</t>
  </si>
  <si>
    <t>Moving soiled laundry for collection</t>
  </si>
  <si>
    <t>Collection and movement of used towels and laboratory coats for laundering</t>
  </si>
  <si>
    <t>Biological Spill Response within Kurilpa Museum</t>
  </si>
  <si>
    <t>Responding to a biological spill or unplanned delivery of a biological specimen inside or outside of the BSP laboratory where Museum personnel could be affected</t>
  </si>
  <si>
    <t>Test Emergency Shower and Eyewash</t>
  </si>
  <si>
    <t>Testing the emergency shower and eyewash station</t>
  </si>
  <si>
    <t>Slips on wet floor</t>
  </si>
  <si>
    <t>Injury from reaching and lifting heavy items</t>
  </si>
  <si>
    <t>Vaccinated</t>
  </si>
  <si>
    <t>Biological Spill Response</t>
  </si>
  <si>
    <t>Responding to a biological spill or unplanned delivery of a biological specimen inside or outside of the BSP laboratory where public or workers could be affected</t>
  </si>
  <si>
    <t>Use clean towels to dry decontaminated surfaces and place into a plastic bin</t>
  </si>
  <si>
    <t>Place plastic bins and biological spill kit and smaller items for decontamination on the trolley</t>
  </si>
  <si>
    <t>Decontaminate plastic bins and trolley</t>
  </si>
  <si>
    <t>Notify others to consider specimen retention</t>
  </si>
  <si>
    <t>Instruct staff to clear visitors and unvaccinated personnel from the area</t>
  </si>
  <si>
    <t>Instruct all visitors and unmasked or unvaccinated staff to leave the area</t>
  </si>
  <si>
    <t>Double bag the clinical waste bag and place in a separate plastic bin</t>
  </si>
  <si>
    <t>Load the trolley with the biological spill kit, clinical waste bags, clean towels and 2 or more empty plastic bins</t>
  </si>
  <si>
    <t>Move the loaded trolley to the location of the biological spill or specimen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</si>
</sst>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b/>
      <sz val="12"/>
      <color theme="1"/>
      <name val="Calibri"/>
      <family val="2"/>
      <scheme val="minor"/>
    </font>
    <font>
      <b/>
      <sz val="14"/>
      <color theme="1"/>
      <name val="Calibri"/>
      <family val="2"/>
      <scheme val="minor"/>
    </font>
    <font>
      <b/>
      <sz val="16"/>
      <color theme="1"/>
      <name val="Calibri"/>
      <family val="2"/>
      <scheme val="minor"/>
    </font>
    <font>
      <b/>
      <sz val="12"/>
      <color rgb="FFC00000"/>
      <name val="Calibri"/>
      <family val="2"/>
      <scheme val="minor"/>
    </font>
    <font>
      <sz val="11"/>
      <color theme="1"/>
      <name val="Arial"/>
      <family val="2"/>
    </font>
    <font>
      <sz val="10"/>
      <color theme="1"/>
      <name val="Calibri"/>
      <family val="2"/>
      <scheme val="minor"/>
    </font>
    <font>
      <sz val="11"/>
      <color theme="1"/>
      <name val="Calibri"/>
      <family val="2"/>
    </font>
    <font>
      <b/>
      <sz val="11"/>
      <color theme="1"/>
      <name val="Arial"/>
      <family val="2"/>
    </font>
    <font>
      <b/>
      <sz val="11"/>
      <color rgb="FF000000"/>
      <name val="Calibri"/>
      <family val="2"/>
      <scheme val="minor"/>
    </font>
    <font>
      <sz val="11"/>
      <color theme="0" tint="-0.249977111117893"/>
      <name val="Calibri"/>
      <family val="2"/>
      <scheme val="minor"/>
    </font>
    <font>
      <sz val="11"/>
      <color theme="0" tint="-0.14999847407452621"/>
      <name val="Calibri"/>
      <family val="2"/>
      <scheme val="minor"/>
    </font>
    <font>
      <b/>
      <sz val="20"/>
      <color theme="0"/>
      <name val="Arial"/>
      <family val="2"/>
    </font>
    <font>
      <b/>
      <sz val="14"/>
      <name val="Arial"/>
      <family val="2"/>
    </font>
    <font>
      <b/>
      <sz val="24"/>
      <color theme="0"/>
      <name val="Calibri"/>
      <family val="2"/>
      <scheme val="minor"/>
    </font>
    <font>
      <sz val="11"/>
      <color theme="0" tint="-4.9989318521683403E-2"/>
      <name val="Calibri"/>
      <family val="2"/>
      <scheme val="minor"/>
    </font>
    <font>
      <sz val="14"/>
      <name val="Calibri"/>
      <family val="2"/>
      <scheme val="minor"/>
    </font>
    <font>
      <i/>
      <sz val="11"/>
      <color theme="1"/>
      <name val="Calibri"/>
      <family val="2"/>
      <scheme val="minor"/>
    </font>
    <font>
      <sz val="11"/>
      <color theme="9" tint="0.79998168889431442"/>
      <name val="Calibri"/>
      <family val="2"/>
      <scheme val="minor"/>
    </font>
    <font>
      <b/>
      <sz val="11"/>
      <color rgb="FFFF0000"/>
      <name val="Calibri"/>
      <family val="2"/>
      <scheme val="minor"/>
    </font>
    <font>
      <sz val="11"/>
      <color rgb="FFFF0000"/>
      <name val="Calibri"/>
      <family val="2"/>
      <scheme val="minor"/>
    </font>
    <font>
      <sz val="11"/>
      <color rgb="FFFFC000"/>
      <name val="Calibri"/>
      <family val="2"/>
      <scheme val="minor"/>
    </font>
    <font>
      <sz val="11"/>
      <color rgb="FFFFFF00"/>
      <name val="Calibri"/>
      <family val="2"/>
      <scheme val="minor"/>
    </font>
    <font>
      <sz val="11"/>
      <color rgb="FF92D050"/>
      <name val="Calibri"/>
      <family val="2"/>
      <scheme val="minor"/>
    </font>
    <font>
      <sz val="11"/>
      <color theme="0"/>
      <name val="Calibri"/>
      <family val="2"/>
      <scheme val="minor"/>
    </font>
    <font>
      <sz val="14"/>
      <color theme="1"/>
      <name val="Calibri"/>
      <family val="2"/>
      <scheme val="minor"/>
    </font>
    <font>
      <sz val="11"/>
      <color theme="1"/>
      <name val="Aptos"/>
      <family val="2"/>
    </font>
  </fonts>
  <fills count="21">
    <fill>
      <patternFill patternType="none"/>
    </fill>
    <fill>
      <patternFill patternType="gray125"/>
    </fill>
    <fill>
      <patternFill patternType="solid">
        <fgColor rgb="FFFFFF99"/>
        <bgColor indexed="64"/>
      </patternFill>
    </fill>
    <fill>
      <patternFill patternType="solid">
        <fgColor rgb="FFC00000"/>
        <bgColor indexed="64"/>
      </patternFill>
    </fill>
    <fill>
      <patternFill patternType="solid">
        <fgColor theme="7"/>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theme="0" tint="-0.49998474074526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indexed="64"/>
      </left>
      <right style="thin">
        <color theme="0"/>
      </right>
      <top style="thin">
        <color theme="0"/>
      </top>
      <bottom style="thin">
        <color theme="0"/>
      </bottom>
      <diagonal/>
    </border>
    <border>
      <left/>
      <right/>
      <top style="thin">
        <color theme="0"/>
      </top>
      <bottom/>
      <diagonal/>
    </border>
    <border>
      <left style="thin">
        <color theme="0"/>
      </left>
      <right style="thin">
        <color theme="0"/>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theme="0" tint="-0.24994659260841701"/>
      </top>
      <bottom style="hair">
        <color theme="0" tint="-0.2499465926084170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medium">
        <color theme="1" tint="0.499984740745262"/>
      </left>
      <right style="medium">
        <color theme="0"/>
      </right>
      <top style="medium">
        <color theme="1" tint="0.499984740745262"/>
      </top>
      <bottom style="medium">
        <color theme="0"/>
      </bottom>
      <diagonal/>
    </border>
    <border>
      <left style="medium">
        <color theme="0"/>
      </left>
      <right style="medium">
        <color theme="0"/>
      </right>
      <top style="medium">
        <color theme="1" tint="0.499984740745262"/>
      </top>
      <bottom style="medium">
        <color theme="0"/>
      </bottom>
      <diagonal/>
    </border>
    <border>
      <left style="medium">
        <color theme="0"/>
      </left>
      <right style="medium">
        <color theme="1" tint="0.499984740745262"/>
      </right>
      <top style="medium">
        <color theme="1" tint="0.499984740745262"/>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1" tint="0.499984740745262"/>
      </right>
      <top style="medium">
        <color theme="0"/>
      </top>
      <bottom style="medium">
        <color theme="0"/>
      </bottom>
      <diagonal/>
    </border>
    <border>
      <left style="medium">
        <color theme="0"/>
      </left>
      <right/>
      <top style="medium">
        <color theme="1" tint="0.499984740745262"/>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1" tint="0.499984740745262"/>
      </right>
      <top/>
      <bottom style="medium">
        <color theme="0"/>
      </bottom>
      <diagonal/>
    </border>
    <border>
      <left style="thin">
        <color theme="0"/>
      </left>
      <right style="thin">
        <color theme="0"/>
      </right>
      <top style="medium">
        <color theme="0"/>
      </top>
      <bottom style="thin">
        <color theme="0"/>
      </bottom>
      <diagonal/>
    </border>
    <border>
      <left style="thin">
        <color theme="0"/>
      </left>
      <right style="medium">
        <color theme="1" tint="0.499984740745262"/>
      </right>
      <top style="medium">
        <color theme="0"/>
      </top>
      <bottom style="thin">
        <color theme="0"/>
      </bottom>
      <diagonal/>
    </border>
    <border>
      <left style="medium">
        <color theme="1" tint="0.499984740745262"/>
      </left>
      <right style="thin">
        <color theme="0"/>
      </right>
      <top style="thin">
        <color theme="0"/>
      </top>
      <bottom style="medium">
        <color theme="1" tint="0.499984740745262"/>
      </bottom>
      <diagonal/>
    </border>
    <border>
      <left style="thin">
        <color theme="0"/>
      </left>
      <right style="thin">
        <color theme="0"/>
      </right>
      <top style="thin">
        <color theme="0"/>
      </top>
      <bottom style="medium">
        <color theme="1" tint="0.499984740745262"/>
      </bottom>
      <diagonal/>
    </border>
    <border>
      <left style="thin">
        <color theme="0"/>
      </left>
      <right style="medium">
        <color theme="1" tint="0.499984740745262"/>
      </right>
      <top style="thin">
        <color theme="0"/>
      </top>
      <bottom style="medium">
        <color theme="1" tint="0.499984740745262"/>
      </bottom>
      <diagonal/>
    </border>
    <border>
      <left/>
      <right style="medium">
        <color theme="0"/>
      </right>
      <top/>
      <bottom style="medium">
        <color theme="0"/>
      </bottom>
      <diagonal/>
    </border>
    <border>
      <left/>
      <right style="thin">
        <color theme="0"/>
      </right>
      <top style="medium">
        <color theme="0"/>
      </top>
      <bottom style="thin">
        <color theme="0"/>
      </bottom>
      <diagonal/>
    </border>
    <border>
      <left style="medium">
        <color theme="0"/>
      </left>
      <right/>
      <top/>
      <bottom style="medium">
        <color theme="0"/>
      </bottom>
      <diagonal/>
    </border>
    <border>
      <left style="thin">
        <color theme="0"/>
      </left>
      <right/>
      <top style="medium">
        <color theme="0"/>
      </top>
      <bottom style="thin">
        <color theme="0"/>
      </bottom>
      <diagonal/>
    </border>
    <border>
      <left style="thin">
        <color theme="0"/>
      </left>
      <right/>
      <top style="thin">
        <color theme="0"/>
      </top>
      <bottom style="medium">
        <color theme="1" tint="0.499984740745262"/>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theme="0" tint="-0.24994659260841701"/>
      </top>
      <bottom style="hair">
        <color theme="0" tint="-0.24994659260841701"/>
      </bottom>
      <diagonal/>
    </border>
    <border>
      <left style="medium">
        <color indexed="64"/>
      </left>
      <right style="medium">
        <color indexed="64"/>
      </right>
      <top style="hair">
        <color indexed="64"/>
      </top>
      <bottom style="medium">
        <color indexed="64"/>
      </bottom>
      <diagonal/>
    </border>
  </borders>
  <cellStyleXfs count="1">
    <xf numFmtId="0" fontId="0" fillId="0" borderId="0"/>
  </cellStyleXfs>
  <cellXfs count="368">
    <xf numFmtId="0" fontId="0" fillId="0" borderId="0" xfId="0"/>
    <xf numFmtId="0" fontId="0" fillId="0" borderId="0" xfId="0" applyAlignment="1">
      <alignment vertical="top"/>
    </xf>
    <xf numFmtId="0" fontId="1" fillId="0" borderId="0" xfId="0" applyFont="1"/>
    <xf numFmtId="0" fontId="3"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5" xfId="0" applyBorder="1"/>
    <xf numFmtId="0" fontId="0" fillId="0" borderId="16" xfId="0" applyBorder="1"/>
    <xf numFmtId="0" fontId="0" fillId="0" borderId="17" xfId="0" applyBorder="1"/>
    <xf numFmtId="0" fontId="4" fillId="0" borderId="17" xfId="0" applyFont="1" applyBorder="1"/>
    <xf numFmtId="0" fontId="0" fillId="0" borderId="18" xfId="0" applyBorder="1"/>
    <xf numFmtId="0" fontId="0" fillId="0" borderId="20" xfId="0" applyBorder="1"/>
    <xf numFmtId="0" fontId="0" fillId="0" borderId="21" xfId="0" applyBorder="1"/>
    <xf numFmtId="0" fontId="0" fillId="0" borderId="1" xfId="0" applyBorder="1" applyAlignment="1">
      <alignment vertical="center" wrapText="1"/>
    </xf>
    <xf numFmtId="0" fontId="1" fillId="0" borderId="1" xfId="0" applyFont="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wrapText="1"/>
    </xf>
    <xf numFmtId="0" fontId="0" fillId="0" borderId="22" xfId="0" applyBorder="1"/>
    <xf numFmtId="0" fontId="0" fillId="0" borderId="23" xfId="0" applyBorder="1"/>
    <xf numFmtId="0" fontId="0" fillId="0" borderId="19" xfId="0" applyBorder="1"/>
    <xf numFmtId="0" fontId="0" fillId="0" borderId="24" xfId="0" applyBorder="1"/>
    <xf numFmtId="0" fontId="0" fillId="0" borderId="25" xfId="0" applyBorder="1"/>
    <xf numFmtId="0" fontId="11" fillId="0" borderId="21" xfId="0" applyFont="1" applyBorder="1" applyAlignment="1">
      <alignment vertical="center" wrapText="1"/>
    </xf>
    <xf numFmtId="0" fontId="0" fillId="0" borderId="26" xfId="0" applyBorder="1" applyAlignment="1">
      <alignment vertical="center" wrapText="1"/>
    </xf>
    <xf numFmtId="0" fontId="0" fillId="0" borderId="27" xfId="0" applyBorder="1"/>
    <xf numFmtId="0" fontId="0" fillId="0" borderId="28" xfId="0" applyBorder="1"/>
    <xf numFmtId="0" fontId="1" fillId="2" borderId="1" xfId="0" applyFont="1" applyFill="1" applyBorder="1" applyAlignment="1">
      <alignment vertical="top"/>
    </xf>
    <xf numFmtId="0" fontId="0" fillId="0" borderId="1" xfId="0" applyBorder="1" applyAlignment="1">
      <alignment vertical="top" wrapText="1"/>
    </xf>
    <xf numFmtId="0" fontId="14" fillId="0" borderId="0" xfId="0" applyFont="1"/>
    <xf numFmtId="0" fontId="0" fillId="0" borderId="1" xfId="0" applyBorder="1" applyAlignment="1">
      <alignment horizontal="center"/>
    </xf>
    <xf numFmtId="0" fontId="0" fillId="0" borderId="2" xfId="0" applyBorder="1"/>
    <xf numFmtId="0" fontId="5" fillId="0" borderId="3" xfId="0" applyFont="1" applyBorder="1" applyAlignment="1">
      <alignment horizontal="center" vertical="center"/>
    </xf>
    <xf numFmtId="0" fontId="4" fillId="0" borderId="0" xfId="0" applyFont="1"/>
    <xf numFmtId="0" fontId="18" fillId="0" borderId="0" xfId="0" applyFont="1" applyAlignment="1">
      <alignment horizontal="right"/>
    </xf>
    <xf numFmtId="0" fontId="1" fillId="0" borderId="30" xfId="0" applyFont="1" applyBorder="1" applyAlignment="1">
      <alignment horizontal="right" vertical="center"/>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xf numFmtId="0" fontId="0" fillId="0" borderId="34" xfId="0" applyBorder="1"/>
    <xf numFmtId="0" fontId="1" fillId="0" borderId="35" xfId="0" applyFont="1" applyBorder="1"/>
    <xf numFmtId="0" fontId="13" fillId="11" borderId="36" xfId="0" applyFont="1" applyFill="1" applyBorder="1" applyAlignment="1">
      <alignment horizontal="center"/>
    </xf>
    <xf numFmtId="0" fontId="0" fillId="11" borderId="37" xfId="0" applyFill="1" applyBorder="1"/>
    <xf numFmtId="0" fontId="0" fillId="11" borderId="38" xfId="0" applyFill="1" applyBorder="1"/>
    <xf numFmtId="0" fontId="9" fillId="11" borderId="36" xfId="0" applyFont="1" applyFill="1" applyBorder="1"/>
    <xf numFmtId="0" fontId="0" fillId="0" borderId="39" xfId="0" applyBorder="1"/>
    <xf numFmtId="0" fontId="0" fillId="0" borderId="40" xfId="0" applyBorder="1"/>
    <xf numFmtId="0" fontId="0" fillId="0" borderId="41" xfId="0" applyBorder="1"/>
    <xf numFmtId="0" fontId="0" fillId="11" borderId="43" xfId="0" applyFill="1" applyBorder="1"/>
    <xf numFmtId="0" fontId="0" fillId="12" borderId="0" xfId="0" applyFill="1"/>
    <xf numFmtId="0" fontId="0" fillId="12" borderId="43" xfId="0" applyFill="1" applyBorder="1"/>
    <xf numFmtId="0" fontId="13" fillId="11" borderId="44" xfId="0" applyFont="1" applyFill="1" applyBorder="1" applyAlignment="1">
      <alignment horizontal="center"/>
    </xf>
    <xf numFmtId="0" fontId="0" fillId="11" borderId="45" xfId="0" applyFill="1" applyBorder="1"/>
    <xf numFmtId="0" fontId="0" fillId="11" borderId="46" xfId="0" applyFill="1" applyBorder="1"/>
    <xf numFmtId="0" fontId="0" fillId="12" borderId="30" xfId="0" applyFill="1" applyBorder="1"/>
    <xf numFmtId="0" fontId="1" fillId="12" borderId="31" xfId="0" applyFont="1" applyFill="1" applyBorder="1"/>
    <xf numFmtId="0" fontId="0" fillId="12" borderId="31" xfId="0" applyFill="1" applyBorder="1"/>
    <xf numFmtId="0" fontId="0" fillId="12" borderId="32" xfId="0" applyFill="1" applyBorder="1"/>
    <xf numFmtId="0" fontId="0" fillId="0" borderId="47" xfId="0" applyBorder="1"/>
    <xf numFmtId="0" fontId="0" fillId="0" borderId="37" xfId="0" applyBorder="1"/>
    <xf numFmtId="0" fontId="0" fillId="0" borderId="38" xfId="0" applyBorder="1"/>
    <xf numFmtId="0" fontId="0" fillId="0" borderId="44" xfId="0" applyBorder="1"/>
    <xf numFmtId="0" fontId="0" fillId="0" borderId="45" xfId="0" applyBorder="1"/>
    <xf numFmtId="0" fontId="0" fillId="0" borderId="46" xfId="0" applyBorder="1"/>
    <xf numFmtId="0" fontId="13" fillId="11" borderId="48" xfId="0" applyFont="1" applyFill="1" applyBorder="1" applyAlignment="1">
      <alignment horizontal="center"/>
    </xf>
    <xf numFmtId="0" fontId="0" fillId="12" borderId="37" xfId="0" applyFill="1" applyBorder="1"/>
    <xf numFmtId="0" fontId="0" fillId="12" borderId="38" xfId="0" applyFill="1" applyBorder="1"/>
    <xf numFmtId="0" fontId="13" fillId="11" borderId="49" xfId="0" applyFont="1" applyFill="1" applyBorder="1" applyAlignment="1">
      <alignment horizontal="center"/>
    </xf>
    <xf numFmtId="0" fontId="13" fillId="11" borderId="50" xfId="0" applyFont="1" applyFill="1" applyBorder="1" applyAlignment="1">
      <alignment horizontal="center"/>
    </xf>
    <xf numFmtId="0" fontId="0" fillId="12" borderId="45" xfId="0" applyFill="1" applyBorder="1"/>
    <xf numFmtId="0" fontId="0" fillId="12" borderId="46" xfId="0" applyFill="1" applyBorder="1"/>
    <xf numFmtId="0" fontId="9" fillId="11" borderId="44" xfId="0" applyFont="1" applyFill="1" applyBorder="1"/>
    <xf numFmtId="0" fontId="0" fillId="0" borderId="52" xfId="0" applyBorder="1"/>
    <xf numFmtId="0" fontId="0" fillId="0" borderId="53" xfId="0" applyBorder="1"/>
    <xf numFmtId="0" fontId="0" fillId="0" borderId="51" xfId="0" applyBorder="1"/>
    <xf numFmtId="49" fontId="14" fillId="10" borderId="0" xfId="0" quotePrefix="1" applyNumberFormat="1" applyFont="1" applyFill="1" applyAlignment="1">
      <alignment horizontal="center" vertical="center"/>
    </xf>
    <xf numFmtId="0" fontId="14" fillId="10" borderId="0" xfId="0" applyFont="1" applyFill="1" applyAlignment="1">
      <alignment horizontal="center" vertical="center"/>
    </xf>
    <xf numFmtId="0" fontId="14" fillId="10" borderId="0" xfId="0" quotePrefix="1" applyFont="1" applyFill="1" applyAlignment="1">
      <alignment horizontal="center" vertical="center"/>
    </xf>
    <xf numFmtId="0" fontId="14" fillId="10" borderId="1" xfId="0" applyFont="1" applyFill="1" applyBorder="1" applyAlignment="1">
      <alignment horizontal="center" vertical="center"/>
    </xf>
    <xf numFmtId="0" fontId="14" fillId="10" borderId="0" xfId="0" applyFont="1" applyFill="1"/>
    <xf numFmtId="0" fontId="14" fillId="10" borderId="0" xfId="0" applyFont="1" applyFill="1" applyAlignment="1">
      <alignment vertical="top"/>
    </xf>
    <xf numFmtId="0" fontId="0" fillId="5" borderId="1" xfId="0" applyFill="1" applyBorder="1"/>
    <xf numFmtId="0" fontId="0" fillId="0" borderId="0" xfId="0" applyAlignment="1">
      <alignment horizontal="left"/>
    </xf>
    <xf numFmtId="0" fontId="0" fillId="0" borderId="0" xfId="0" applyAlignment="1">
      <alignment horizontal="left" vertical="center"/>
    </xf>
    <xf numFmtId="0" fontId="0" fillId="0" borderId="1" xfId="0" applyBorder="1" applyAlignment="1">
      <alignment horizontal="center" vertical="center"/>
    </xf>
    <xf numFmtId="0" fontId="0" fillId="0" borderId="0" xfId="0" applyAlignment="1">
      <alignment wrapText="1"/>
    </xf>
    <xf numFmtId="0" fontId="0" fillId="0" borderId="15" xfId="0" applyBorder="1" applyAlignment="1">
      <alignment vertical="center"/>
    </xf>
    <xf numFmtId="0" fontId="0" fillId="0" borderId="58" xfId="0" applyBorder="1"/>
    <xf numFmtId="0" fontId="0" fillId="0" borderId="59" xfId="0" applyBorder="1"/>
    <xf numFmtId="0" fontId="0" fillId="0" borderId="60" xfId="0" applyBorder="1"/>
    <xf numFmtId="0" fontId="0" fillId="0" borderId="61" xfId="0" applyBorder="1"/>
    <xf numFmtId="0" fontId="0" fillId="0" borderId="61" xfId="0" applyBorder="1" applyAlignment="1">
      <alignment vertical="center"/>
    </xf>
    <xf numFmtId="0" fontId="0" fillId="0" borderId="62" xfId="0" applyBorder="1" applyAlignment="1">
      <alignment horizontal="center" vertical="center"/>
    </xf>
    <xf numFmtId="0" fontId="0" fillId="0" borderId="26" xfId="0" applyBorder="1"/>
    <xf numFmtId="0" fontId="0" fillId="0" borderId="56" xfId="0" applyBorder="1" applyAlignment="1">
      <alignment vertical="center"/>
    </xf>
    <xf numFmtId="0" fontId="0" fillId="0" borderId="57" xfId="0" applyBorder="1"/>
    <xf numFmtId="0" fontId="0" fillId="0" borderId="19" xfId="0" applyBorder="1" applyAlignment="1">
      <alignment vertical="center"/>
    </xf>
    <xf numFmtId="0" fontId="0" fillId="0" borderId="63" xfId="0" applyBorder="1"/>
    <xf numFmtId="0" fontId="0" fillId="0" borderId="64" xfId="0" applyBorder="1" applyAlignment="1">
      <alignment vertical="center"/>
    </xf>
    <xf numFmtId="0" fontId="0" fillId="0" borderId="65" xfId="0" applyBorder="1"/>
    <xf numFmtId="0" fontId="0" fillId="0" borderId="66" xfId="0" applyBorder="1"/>
    <xf numFmtId="0" fontId="0" fillId="0" borderId="67" xfId="0" applyBorder="1"/>
    <xf numFmtId="0" fontId="0" fillId="0" borderId="68" xfId="0" applyBorder="1"/>
    <xf numFmtId="0" fontId="0" fillId="0" borderId="68" xfId="0" applyBorder="1" applyAlignment="1">
      <alignment vertical="center"/>
    </xf>
    <xf numFmtId="0" fontId="0" fillId="0" borderId="69" xfId="0" applyBorder="1" applyAlignment="1">
      <alignment horizontal="center" vertical="center"/>
    </xf>
    <xf numFmtId="0" fontId="0" fillId="0" borderId="70" xfId="0" applyBorder="1"/>
    <xf numFmtId="0" fontId="0" fillId="0" borderId="71" xfId="0" applyBorder="1"/>
    <xf numFmtId="0" fontId="0" fillId="0" borderId="72" xfId="0" applyBorder="1"/>
    <xf numFmtId="0" fontId="0" fillId="0" borderId="73" xfId="0" applyBorder="1"/>
    <xf numFmtId="0" fontId="0" fillId="0" borderId="74" xfId="0" applyBorder="1"/>
    <xf numFmtId="0" fontId="0" fillId="0" borderId="66" xfId="0" applyBorder="1" applyAlignment="1">
      <alignment vertical="center"/>
    </xf>
    <xf numFmtId="0" fontId="0" fillId="0" borderId="75" xfId="0" applyBorder="1"/>
    <xf numFmtId="0" fontId="0" fillId="0" borderId="76" xfId="0" applyBorder="1" applyAlignment="1">
      <alignment vertical="center"/>
    </xf>
    <xf numFmtId="0" fontId="0" fillId="0" borderId="77" xfId="0" applyBorder="1"/>
    <xf numFmtId="0" fontId="0" fillId="0" borderId="56" xfId="0" applyBorder="1"/>
    <xf numFmtId="0" fontId="0" fillId="0" borderId="2" xfId="0" applyBorder="1" applyAlignment="1">
      <alignment horizontal="center" vertical="center"/>
    </xf>
    <xf numFmtId="0" fontId="14" fillId="0" borderId="0" xfId="0" applyFont="1" applyAlignment="1">
      <alignment wrapText="1"/>
    </xf>
    <xf numFmtId="0" fontId="0" fillId="0" borderId="0" xfId="0" applyAlignment="1">
      <alignment horizontal="center"/>
    </xf>
    <xf numFmtId="0" fontId="19" fillId="0" borderId="0" xfId="0" applyFont="1" applyAlignment="1">
      <alignment vertical="top"/>
    </xf>
    <xf numFmtId="0" fontId="0" fillId="10" borderId="0" xfId="0" applyFill="1"/>
    <xf numFmtId="0" fontId="1" fillId="0" borderId="82" xfId="0" applyFont="1" applyBorder="1" applyAlignment="1">
      <alignment vertical="center"/>
    </xf>
    <xf numFmtId="0" fontId="1" fillId="0" borderId="83" xfId="0" applyFont="1" applyBorder="1" applyAlignment="1">
      <alignment vertical="center"/>
    </xf>
    <xf numFmtId="0" fontId="1" fillId="0" borderId="80" xfId="0" applyFont="1" applyBorder="1" applyAlignment="1">
      <alignment vertical="center"/>
    </xf>
    <xf numFmtId="0" fontId="1" fillId="0" borderId="81" xfId="0" applyFont="1" applyBorder="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0" fillId="0" borderId="42"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 xfId="0" applyBorder="1" applyProtection="1">
      <protection locked="0"/>
    </xf>
    <xf numFmtId="0" fontId="1" fillId="2" borderId="1" xfId="0" applyFont="1" applyFill="1" applyBorder="1"/>
    <xf numFmtId="0" fontId="1" fillId="0" borderId="1" xfId="0" applyFont="1" applyBorder="1" applyAlignment="1">
      <alignment vertical="top"/>
    </xf>
    <xf numFmtId="0" fontId="3" fillId="0" borderId="9" xfId="0" applyFont="1" applyBorder="1" applyAlignment="1">
      <alignment horizontal="center" vertical="center" wrapText="1"/>
    </xf>
    <xf numFmtId="0" fontId="9" fillId="0" borderId="0" xfId="0" applyFont="1"/>
    <xf numFmtId="0" fontId="20" fillId="0" borderId="0" xfId="0" applyFont="1" applyAlignment="1">
      <alignment wrapText="1"/>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xf numFmtId="0" fontId="0" fillId="3" borderId="1" xfId="0" applyFill="1" applyBorder="1"/>
    <xf numFmtId="0" fontId="9" fillId="3" borderId="1" xfId="0" applyFont="1" applyFill="1" applyBorder="1"/>
    <xf numFmtId="0" fontId="9" fillId="3" borderId="1" xfId="0" applyFont="1" applyFill="1" applyBorder="1" applyAlignment="1">
      <alignment horizontal="center" vertical="center"/>
    </xf>
    <xf numFmtId="0" fontId="9" fillId="0" borderId="1" xfId="0" applyFont="1" applyBorder="1"/>
    <xf numFmtId="0" fontId="1" fillId="15" borderId="1" xfId="0" applyFont="1" applyFill="1" applyBorder="1" applyAlignment="1">
      <alignment vertical="top"/>
    </xf>
    <xf numFmtId="0" fontId="0" fillId="9" borderId="1" xfId="0" applyFill="1" applyBorder="1" applyAlignment="1">
      <alignment horizontal="center" vertical="center" wrapText="1"/>
    </xf>
    <xf numFmtId="0" fontId="0" fillId="16" borderId="0" xfId="0" applyFill="1"/>
    <xf numFmtId="0" fontId="9" fillId="16" borderId="0" xfId="0" applyFont="1" applyFill="1"/>
    <xf numFmtId="0" fontId="1" fillId="0" borderId="0" xfId="0" applyFont="1" applyAlignment="1">
      <alignment horizontal="center"/>
    </xf>
    <xf numFmtId="0" fontId="20" fillId="0" borderId="5" xfId="0" applyFont="1" applyBorder="1"/>
    <xf numFmtId="0" fontId="20" fillId="0" borderId="13" xfId="0" applyFont="1" applyBorder="1"/>
    <xf numFmtId="0" fontId="9" fillId="16" borderId="0" xfId="0" applyFont="1" applyFill="1" applyAlignment="1">
      <alignment horizontal="center"/>
    </xf>
    <xf numFmtId="0" fontId="21" fillId="0" borderId="0" xfId="0" applyFont="1"/>
    <xf numFmtId="0" fontId="0" fillId="8" borderId="0" xfId="0" applyFill="1" applyAlignment="1">
      <alignment horizontal="left"/>
    </xf>
    <xf numFmtId="14" fontId="0" fillId="0" borderId="0" xfId="0" applyNumberFormat="1" applyAlignment="1">
      <alignment horizontal="center"/>
    </xf>
    <xf numFmtId="0" fontId="0" fillId="0" borderId="1" xfId="0" applyBorder="1"/>
    <xf numFmtId="14" fontId="0" fillId="0" borderId="1" xfId="0" applyNumberFormat="1" applyBorder="1" applyAlignment="1">
      <alignment horizontal="center"/>
    </xf>
    <xf numFmtId="0" fontId="9" fillId="0" borderId="0" xfId="0" applyFont="1" applyAlignment="1">
      <alignment vertical="top"/>
    </xf>
    <xf numFmtId="0" fontId="1" fillId="2" borderId="1" xfId="0" applyFont="1" applyFill="1" applyBorder="1" applyAlignment="1" applyProtection="1">
      <alignment horizontal="center" wrapText="1"/>
      <protection locked="0"/>
    </xf>
    <xf numFmtId="0" fontId="1" fillId="2" borderId="1" xfId="0" applyFont="1" applyFill="1" applyBorder="1" applyAlignment="1" applyProtection="1">
      <alignment vertical="top" wrapText="1"/>
      <protection locked="0"/>
    </xf>
    <xf numFmtId="0" fontId="1" fillId="0" borderId="1" xfId="0" applyFont="1" applyBorder="1" applyAlignment="1" applyProtection="1">
      <alignment vertical="top" wrapText="1"/>
      <protection locked="0"/>
    </xf>
    <xf numFmtId="0" fontId="1" fillId="0" borderId="1" xfId="0" applyFont="1" applyBorder="1" applyAlignment="1" applyProtection="1">
      <alignment vertical="top"/>
      <protection locked="0"/>
    </xf>
    <xf numFmtId="0" fontId="22" fillId="0" borderId="0" xfId="0" applyFont="1" applyProtection="1">
      <protection locked="0"/>
    </xf>
    <xf numFmtId="0" fontId="1" fillId="2" borderId="1" xfId="0" applyFont="1" applyFill="1" applyBorder="1" applyAlignment="1" applyProtection="1">
      <alignment vertical="center"/>
      <protection locked="0"/>
    </xf>
    <xf numFmtId="0" fontId="1" fillId="2" borderId="1" xfId="0" applyFont="1" applyFill="1" applyBorder="1" applyProtection="1">
      <protection locked="0"/>
    </xf>
    <xf numFmtId="0" fontId="1" fillId="0" borderId="2" xfId="0" applyFont="1" applyBorder="1" applyAlignment="1" applyProtection="1">
      <alignment vertical="top"/>
      <protection locked="0"/>
    </xf>
    <xf numFmtId="0" fontId="1" fillId="2" borderId="1" xfId="0" applyFont="1" applyFill="1" applyBorder="1" applyAlignment="1" applyProtection="1">
      <alignment vertical="top"/>
      <protection locked="0"/>
    </xf>
    <xf numFmtId="0" fontId="0" fillId="11" borderId="1" xfId="0" applyFill="1" applyBorder="1" applyAlignment="1" applyProtection="1">
      <alignment horizontal="center" vertical="center"/>
      <protection locked="0"/>
    </xf>
    <xf numFmtId="0" fontId="0" fillId="11" borderId="1" xfId="0" applyFill="1" applyBorder="1" applyAlignment="1" applyProtection="1">
      <alignment vertical="center"/>
      <protection locked="0"/>
    </xf>
    <xf numFmtId="0" fontId="0" fillId="11" borderId="1" xfId="0" applyFill="1" applyBorder="1" applyProtection="1">
      <protection locked="0"/>
    </xf>
    <xf numFmtId="0" fontId="22" fillId="0" borderId="0" xfId="0" applyFont="1" applyAlignment="1">
      <alignment horizontal="left"/>
    </xf>
    <xf numFmtId="0" fontId="22" fillId="0" borderId="0" xfId="0" applyFont="1" applyAlignment="1">
      <alignment horizontal="right" vertical="center"/>
    </xf>
    <xf numFmtId="0" fontId="9" fillId="3" borderId="0" xfId="0" applyFont="1" applyFill="1"/>
    <xf numFmtId="0" fontId="1" fillId="2" borderId="1" xfId="0" applyFont="1" applyFill="1" applyBorder="1" applyAlignment="1">
      <alignment horizontal="center" vertical="center"/>
    </xf>
    <xf numFmtId="0" fontId="0" fillId="0" borderId="0" xfId="0" applyAlignment="1">
      <alignment horizontal="center" vertical="top"/>
    </xf>
    <xf numFmtId="0" fontId="0" fillId="0" borderId="0" xfId="0" applyAlignment="1" applyProtection="1">
      <alignment wrapText="1"/>
      <protection locked="0"/>
    </xf>
    <xf numFmtId="0" fontId="0" fillId="0" borderId="0" xfId="0" applyAlignment="1" applyProtection="1">
      <alignment vertical="center"/>
      <protection locked="0"/>
    </xf>
    <xf numFmtId="0" fontId="0" fillId="0" borderId="0" xfId="0" applyProtection="1">
      <protection locked="0"/>
    </xf>
    <xf numFmtId="0" fontId="0" fillId="15" borderId="1" xfId="0" applyFill="1" applyBorder="1"/>
    <xf numFmtId="0" fontId="0" fillId="14" borderId="0" xfId="0" applyFill="1" applyAlignment="1">
      <alignment vertical="top"/>
    </xf>
    <xf numFmtId="0" fontId="0" fillId="0" borderId="1" xfId="0" applyBorder="1" applyAlignment="1">
      <alignment horizontal="center" vertical="top"/>
    </xf>
    <xf numFmtId="0" fontId="0" fillId="0" borderId="1" xfId="0" applyBorder="1" applyAlignment="1">
      <alignment vertical="top"/>
    </xf>
    <xf numFmtId="0" fontId="0" fillId="0" borderId="1" xfId="0" applyBorder="1" applyAlignment="1" applyProtection="1">
      <alignment vertical="top" wrapText="1"/>
      <protection locked="0"/>
    </xf>
    <xf numFmtId="0" fontId="0" fillId="0" borderId="1" xfId="0" applyBorder="1" applyAlignment="1" applyProtection="1">
      <alignment vertical="top"/>
      <protection locked="0"/>
    </xf>
    <xf numFmtId="0" fontId="0" fillId="0" borderId="1" xfId="0" applyBorder="1" applyAlignment="1" applyProtection="1">
      <alignment vertical="center"/>
      <protection locked="0"/>
    </xf>
    <xf numFmtId="0" fontId="0" fillId="0" borderId="1" xfId="0" applyBorder="1" applyAlignment="1">
      <alignment vertical="center"/>
    </xf>
    <xf numFmtId="0" fontId="0" fillId="16" borderId="0" xfId="0" applyFill="1" applyAlignment="1">
      <alignment horizontal="center" vertical="top"/>
    </xf>
    <xf numFmtId="0" fontId="0" fillId="12" borderId="0" xfId="0" applyFill="1" applyAlignment="1">
      <alignment horizontal="left" vertical="top" wrapText="1"/>
    </xf>
    <xf numFmtId="14" fontId="0" fillId="12" borderId="0" xfId="0" applyNumberFormat="1" applyFill="1" applyAlignment="1">
      <alignment horizontal="left" vertical="top"/>
    </xf>
    <xf numFmtId="0" fontId="0" fillId="12" borderId="0" xfId="0" applyFill="1" applyAlignment="1">
      <alignment horizontal="left" vertical="top"/>
    </xf>
    <xf numFmtId="0" fontId="0" fillId="13" borderId="0" xfId="0" applyFill="1" applyAlignment="1">
      <alignment vertical="top"/>
    </xf>
    <xf numFmtId="0" fontId="0" fillId="0" borderId="0" xfId="0" applyAlignment="1" applyProtection="1">
      <alignment vertical="top" wrapText="1"/>
      <protection locked="0"/>
    </xf>
    <xf numFmtId="0" fontId="0" fillId="2" borderId="0" xfId="0" applyFill="1" applyAlignment="1" applyProtection="1">
      <alignment vertical="top" wrapText="1"/>
      <protection locked="0"/>
    </xf>
    <xf numFmtId="0" fontId="3" fillId="19" borderId="2"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19" borderId="9" xfId="0" applyFont="1" applyFill="1" applyBorder="1" applyAlignment="1">
      <alignment horizontal="center" vertical="center" wrapText="1"/>
    </xf>
    <xf numFmtId="0" fontId="0" fillId="19" borderId="2" xfId="0" applyFill="1" applyBorder="1" applyProtection="1">
      <protection locked="0"/>
    </xf>
    <xf numFmtId="0" fontId="0" fillId="19" borderId="1" xfId="0" applyFill="1" applyBorder="1" applyProtection="1">
      <protection locked="0"/>
    </xf>
    <xf numFmtId="0" fontId="0" fillId="8" borderId="1" xfId="0" applyFill="1" applyBorder="1" applyAlignment="1" applyProtection="1">
      <alignment vertical="top" wrapText="1"/>
      <protection locked="0"/>
    </xf>
    <xf numFmtId="0" fontId="0" fillId="0" borderId="2" xfId="0" applyBorder="1" applyAlignment="1" applyProtection="1">
      <alignment vertical="top" wrapText="1"/>
      <protection locked="0"/>
    </xf>
    <xf numFmtId="0" fontId="22" fillId="0" borderId="0" xfId="0" applyFont="1" applyAlignment="1">
      <alignment horizontal="left" indent="1"/>
    </xf>
    <xf numFmtId="0" fontId="0" fillId="11" borderId="0" xfId="0" applyFill="1"/>
    <xf numFmtId="0" fontId="0" fillId="6" borderId="1" xfId="0" applyFill="1" applyBorder="1" applyAlignment="1">
      <alignment horizontal="center" wrapText="1"/>
    </xf>
    <xf numFmtId="0" fontId="0" fillId="7" borderId="1" xfId="0" applyFill="1" applyBorder="1" applyAlignment="1">
      <alignment horizontal="center" wrapText="1"/>
    </xf>
    <xf numFmtId="0" fontId="0" fillId="8" borderId="1" xfId="0" applyFill="1" applyBorder="1" applyAlignment="1">
      <alignment horizontal="center" wrapText="1"/>
    </xf>
    <xf numFmtId="0" fontId="1" fillId="0" borderId="84" xfId="0" applyFont="1" applyBorder="1" applyAlignment="1">
      <alignment vertical="center"/>
    </xf>
    <xf numFmtId="0" fontId="1" fillId="0" borderId="85" xfId="0" applyFont="1" applyBorder="1" applyAlignment="1">
      <alignment vertical="center"/>
    </xf>
    <xf numFmtId="0" fontId="0" fillId="0" borderId="5" xfId="0" applyBorder="1"/>
    <xf numFmtId="0" fontId="0" fillId="0" borderId="13" xfId="0" applyBorder="1"/>
    <xf numFmtId="164" fontId="9" fillId="0" borderId="0" xfId="0" applyNumberFormat="1" applyFont="1" applyAlignment="1">
      <alignment vertical="top"/>
    </xf>
    <xf numFmtId="0" fontId="0" fillId="0" borderId="4" xfId="0" applyBorder="1"/>
    <xf numFmtId="0" fontId="0" fillId="0" borderId="3" xfId="0" applyBorder="1"/>
    <xf numFmtId="0" fontId="27" fillId="0" borderId="0" xfId="0" applyFont="1"/>
    <xf numFmtId="0" fontId="5" fillId="9" borderId="0" xfId="0" applyFont="1" applyFill="1" applyAlignment="1" applyProtection="1">
      <alignment vertical="top"/>
      <protection locked="0"/>
    </xf>
    <xf numFmtId="0" fontId="5" fillId="9" borderId="45" xfId="0" applyFont="1" applyFill="1" applyBorder="1" applyAlignment="1" applyProtection="1">
      <alignment vertical="top"/>
      <protection locked="0"/>
    </xf>
    <xf numFmtId="0" fontId="0" fillId="0" borderId="32" xfId="0" applyBorder="1" applyAlignment="1">
      <alignment vertical="center"/>
    </xf>
    <xf numFmtId="0" fontId="0" fillId="20" borderId="0" xfId="0" applyFill="1" applyAlignment="1">
      <alignment vertical="top"/>
    </xf>
    <xf numFmtId="0" fontId="0" fillId="0" borderId="1" xfId="0" applyBorder="1" applyAlignment="1" applyProtection="1">
      <alignment horizontal="center" vertical="top"/>
      <protection locked="0"/>
    </xf>
    <xf numFmtId="0" fontId="0" fillId="0" borderId="0" xfId="0" applyAlignment="1" applyProtection="1">
      <alignment horizontal="left" vertical="top"/>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14" fontId="0" fillId="0" borderId="0" xfId="0" applyNumberFormat="1" applyAlignment="1" applyProtection="1">
      <alignment horizontal="left" vertical="top"/>
      <protection locked="0"/>
    </xf>
    <xf numFmtId="0" fontId="1" fillId="15" borderId="47" xfId="0" applyFont="1" applyFill="1" applyBorder="1"/>
    <xf numFmtId="0" fontId="1" fillId="15" borderId="37" xfId="0" applyFont="1" applyFill="1" applyBorder="1"/>
    <xf numFmtId="0" fontId="1" fillId="15" borderId="38" xfId="0" applyFont="1" applyFill="1" applyBorder="1"/>
    <xf numFmtId="0" fontId="0" fillId="0" borderId="36" xfId="0" applyBorder="1"/>
    <xf numFmtId="14" fontId="0" fillId="0" borderId="0" xfId="0" applyNumberFormat="1"/>
    <xf numFmtId="0" fontId="0" fillId="17" borderId="43" xfId="0" applyFill="1" applyBorder="1"/>
    <xf numFmtId="0" fontId="0" fillId="18" borderId="43" xfId="0" applyFill="1" applyBorder="1"/>
    <xf numFmtId="0" fontId="0" fillId="0" borderId="43" xfId="0" applyBorder="1"/>
    <xf numFmtId="0" fontId="13" fillId="0" borderId="86" xfId="0" applyFont="1" applyBorder="1" applyAlignment="1">
      <alignment horizontal="center"/>
    </xf>
    <xf numFmtId="0" fontId="0" fillId="0" borderId="0" xfId="0" applyAlignment="1">
      <alignment horizontal="right"/>
    </xf>
    <xf numFmtId="0" fontId="13" fillId="0" borderId="87" xfId="0" applyFont="1" applyBorder="1" applyAlignment="1">
      <alignment horizontal="center"/>
    </xf>
    <xf numFmtId="0" fontId="0" fillId="0" borderId="30" xfId="0" applyBorder="1" applyAlignment="1">
      <alignment horizontal="left"/>
    </xf>
    <xf numFmtId="0" fontId="0" fillId="0" borderId="88"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1" xfId="0" applyBorder="1" applyAlignment="1" applyProtection="1">
      <alignment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15" borderId="2" xfId="0" applyFont="1" applyFill="1" applyBorder="1" applyAlignment="1">
      <alignment horizontal="center"/>
    </xf>
    <xf numFmtId="0" fontId="1" fillId="15" borderId="4" xfId="0" applyFont="1" applyFill="1" applyBorder="1" applyAlignment="1">
      <alignment horizontal="center"/>
    </xf>
    <xf numFmtId="0" fontId="1" fillId="15" borderId="3"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vertical="top"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8" fillId="0" borderId="31" xfId="0" applyFont="1" applyBorder="1" applyAlignment="1">
      <alignment horizontal="center" vertical="center"/>
    </xf>
    <xf numFmtId="0" fontId="0" fillId="9" borderId="30" xfId="0" applyFill="1" applyBorder="1" applyAlignment="1" applyProtection="1">
      <alignment horizontal="center" vertical="center"/>
      <protection locked="0"/>
    </xf>
    <xf numFmtId="0" fontId="0" fillId="9" borderId="31" xfId="0" applyFill="1" applyBorder="1" applyAlignment="1" applyProtection="1">
      <alignment horizontal="center" vertical="center"/>
      <protection locked="0"/>
    </xf>
    <xf numFmtId="0" fontId="0" fillId="9" borderId="32" xfId="0" applyFill="1" applyBorder="1" applyAlignment="1" applyProtection="1">
      <alignment horizontal="center" vertical="center"/>
      <protection locked="0"/>
    </xf>
    <xf numFmtId="0" fontId="9" fillId="0" borderId="1" xfId="0" applyFont="1" applyBorder="1" applyAlignment="1">
      <alignment horizontal="left" vertical="top" wrapText="1"/>
    </xf>
    <xf numFmtId="0" fontId="1" fillId="2" borderId="78" xfId="0" applyFont="1" applyFill="1" applyBorder="1" applyAlignment="1">
      <alignment horizontal="center" vertical="center"/>
    </xf>
    <xf numFmtId="0" fontId="1" fillId="2" borderId="7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 fillId="2" borderId="1" xfId="0" applyFont="1" applyFill="1" applyBorder="1" applyAlignment="1">
      <alignment horizontal="center" vertic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0" fillId="0" borderId="11" xfId="0" applyBorder="1" applyAlignment="1">
      <alignment horizontal="left"/>
    </xf>
    <xf numFmtId="0" fontId="0" fillId="0" borderId="1" xfId="0" applyBorder="1" applyAlignment="1">
      <alignment horizontal="center"/>
    </xf>
    <xf numFmtId="0" fontId="16" fillId="0" borderId="1" xfId="0" applyFont="1" applyBorder="1" applyAlignment="1">
      <alignment horizontal="center" vertical="center"/>
    </xf>
    <xf numFmtId="0" fontId="6" fillId="4" borderId="2" xfId="0" applyFont="1" applyFill="1" applyBorder="1" applyAlignment="1">
      <alignment horizontal="center"/>
    </xf>
    <xf numFmtId="0" fontId="6" fillId="4" borderId="4" xfId="0" applyFont="1" applyFill="1" applyBorder="1" applyAlignment="1">
      <alignment horizontal="center"/>
    </xf>
    <xf numFmtId="0" fontId="6" fillId="4" borderId="3" xfId="0" applyFont="1" applyFill="1" applyBorder="1" applyAlignment="1">
      <alignment horizontal="center"/>
    </xf>
    <xf numFmtId="0" fontId="7" fillId="0" borderId="7" xfId="0" applyFont="1" applyBorder="1" applyAlignment="1">
      <alignment horizontal="left"/>
    </xf>
    <xf numFmtId="0" fontId="7" fillId="0" borderId="6" xfId="0" applyFont="1" applyBorder="1" applyAlignment="1">
      <alignment horizontal="left"/>
    </xf>
    <xf numFmtId="0" fontId="7" fillId="0" borderId="14" xfId="0" applyFont="1" applyBorder="1" applyAlignment="1">
      <alignment horizontal="left"/>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29" xfId="0" applyFont="1" applyBorder="1" applyAlignment="1">
      <alignment horizontal="center" vertical="center"/>
    </xf>
    <xf numFmtId="0" fontId="7" fillId="0" borderId="54" xfId="0" applyFont="1" applyBorder="1" applyAlignment="1">
      <alignment horizontal="left"/>
    </xf>
    <xf numFmtId="0" fontId="7" fillId="0" borderId="22" xfId="0" applyFont="1" applyBorder="1" applyAlignment="1">
      <alignment horizontal="left"/>
    </xf>
    <xf numFmtId="0" fontId="7" fillId="0" borderId="55" xfId="0" applyFont="1" applyBorder="1" applyAlignment="1">
      <alignment horizontal="left"/>
    </xf>
    <xf numFmtId="0" fontId="0" fillId="0" borderId="8" xfId="0" applyBorder="1" applyAlignment="1">
      <alignment horizontal="left" wrapText="1"/>
    </xf>
    <xf numFmtId="0" fontId="0" fillId="0" borderId="0" xfId="0" applyAlignment="1">
      <alignment horizontal="left" wrapText="1"/>
    </xf>
    <xf numFmtId="0" fontId="0" fillId="0" borderId="29" xfId="0" applyBorder="1" applyAlignment="1">
      <alignment horizontal="left" wrapText="1"/>
    </xf>
    <xf numFmtId="0" fontId="15"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6" fillId="4" borderId="1" xfId="0" applyFont="1" applyFill="1" applyBorder="1" applyAlignment="1">
      <alignment horizontal="center"/>
    </xf>
    <xf numFmtId="0" fontId="0" fillId="0" borderId="10" xfId="0" applyBorder="1" applyAlignment="1">
      <alignment horizontal="left"/>
    </xf>
    <xf numFmtId="0" fontId="0" fillId="0" borderId="11" xfId="0" applyBorder="1" applyAlignment="1">
      <alignment horizontal="left" wrapText="1"/>
    </xf>
    <xf numFmtId="0" fontId="0" fillId="0" borderId="12" xfId="0" applyBorder="1" applyAlignment="1">
      <alignment horizontal="left"/>
    </xf>
    <xf numFmtId="0" fontId="0" fillId="0" borderId="5" xfId="0" applyBorder="1" applyAlignment="1">
      <alignment horizontal="left"/>
    </xf>
    <xf numFmtId="0" fontId="0" fillId="0" borderId="13" xfId="0" applyBorder="1" applyAlignment="1">
      <alignment horizontal="left"/>
    </xf>
    <xf numFmtId="0" fontId="7" fillId="0" borderId="9" xfId="0" applyFont="1" applyBorder="1" applyAlignment="1">
      <alignment horizontal="left"/>
    </xf>
    <xf numFmtId="0" fontId="0" fillId="0" borderId="8" xfId="0" applyBorder="1" applyAlignment="1">
      <alignment horizontal="left"/>
    </xf>
    <xf numFmtId="0" fontId="0" fillId="0" borderId="0" xfId="0" applyAlignment="1">
      <alignment horizontal="left"/>
    </xf>
    <xf numFmtId="0" fontId="0" fillId="0" borderId="29" xfId="0" applyBorder="1" applyAlignment="1">
      <alignment horizontal="left"/>
    </xf>
    <xf numFmtId="0" fontId="8" fillId="0" borderId="0" xfId="0" applyFont="1" applyAlignment="1">
      <alignment horizontal="center" vertical="center"/>
    </xf>
    <xf numFmtId="0" fontId="5" fillId="0" borderId="0" xfId="0" applyFont="1" applyAlignment="1">
      <alignment horizontal="left" vertical="center"/>
    </xf>
    <xf numFmtId="0" fontId="0" fillId="0" borderId="5" xfId="0" applyBorder="1" applyAlignment="1">
      <alignment horizontal="center"/>
    </xf>
    <xf numFmtId="0" fontId="0" fillId="0" borderId="0" xfId="0" applyAlignment="1">
      <alignment horizontal="center"/>
    </xf>
    <xf numFmtId="0" fontId="5" fillId="0" borderId="0" xfId="0" applyFont="1" applyAlignment="1">
      <alignment horizontal="center"/>
    </xf>
    <xf numFmtId="0" fontId="0" fillId="0" borderId="0" xfId="0" applyAlignment="1">
      <alignment horizontal="left" vertical="top" wrapText="1"/>
    </xf>
    <xf numFmtId="0" fontId="4" fillId="0" borderId="0" xfId="0" applyFont="1" applyAlignment="1">
      <alignment horizontal="righ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19" borderId="2"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0" fillId="0" borderId="12" xfId="0" applyBorder="1" applyAlignment="1">
      <alignment horizontal="center" wrapText="1"/>
    </xf>
    <xf numFmtId="0" fontId="0" fillId="0" borderId="5" xfId="0" applyBorder="1" applyAlignment="1">
      <alignment horizontal="center" wrapText="1"/>
    </xf>
    <xf numFmtId="0" fontId="0" fillId="0" borderId="13" xfId="0" applyBorder="1" applyAlignment="1">
      <alignment horizontal="center" wrapText="1"/>
    </xf>
    <xf numFmtId="0" fontId="20" fillId="0" borderId="12" xfId="0" applyFont="1" applyBorder="1" applyAlignment="1">
      <alignment horizontal="center" wrapText="1"/>
    </xf>
    <xf numFmtId="0" fontId="20" fillId="0" borderId="5" xfId="0" applyFont="1" applyBorder="1" applyAlignment="1">
      <alignment horizontal="center" wrapTex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1" fillId="0" borderId="47"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31" xfId="0" applyFont="1" applyBorder="1" applyAlignment="1">
      <alignment horizontal="center"/>
    </xf>
    <xf numFmtId="0" fontId="1" fillId="0" borderId="32" xfId="0" applyFont="1" applyBorder="1" applyAlignment="1">
      <alignment horizontal="center"/>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5" fillId="0" borderId="15" xfId="0" applyFont="1" applyBorder="1" applyAlignment="1">
      <alignment horizontal="center"/>
    </xf>
    <xf numFmtId="0" fontId="5" fillId="0" borderId="19" xfId="0" applyFont="1" applyBorder="1" applyAlignment="1">
      <alignment horizontal="center"/>
    </xf>
    <xf numFmtId="0" fontId="1" fillId="5" borderId="1" xfId="0" applyFont="1" applyFill="1" applyBorder="1" applyAlignment="1">
      <alignment horizontal="center" wrapText="1"/>
    </xf>
    <xf numFmtId="0" fontId="1" fillId="5" borderId="10" xfId="0" applyFont="1" applyFill="1" applyBorder="1" applyAlignment="1">
      <alignment horizontal="right" vertical="center" textRotation="90" wrapText="1"/>
    </xf>
    <xf numFmtId="0" fontId="1" fillId="5" borderId="1" xfId="0" applyFont="1" applyFill="1" applyBorder="1" applyAlignment="1">
      <alignment horizontal="right" vertical="center" textRotation="90" wrapText="1"/>
    </xf>
    <xf numFmtId="0" fontId="0" fillId="0" borderId="12" xfId="0" applyBorder="1" applyAlignment="1">
      <alignment horizontal="right" vertical="center" wrapText="1"/>
    </xf>
    <xf numFmtId="0" fontId="0" fillId="0" borderId="5" xfId="0" applyBorder="1" applyAlignment="1">
      <alignment horizontal="right" vertical="center" wrapText="1"/>
    </xf>
    <xf numFmtId="0" fontId="0" fillId="0" borderId="13" xfId="0" applyBorder="1" applyAlignment="1">
      <alignment horizontal="righ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3" xfId="0" applyBorder="1" applyAlignment="1">
      <alignment horizontal="righ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14" xfId="0" applyFont="1" applyBorder="1" applyAlignment="1">
      <alignment horizontal="left" vertical="center" wrapText="1"/>
    </xf>
    <xf numFmtId="0" fontId="9" fillId="0" borderId="12" xfId="0" applyFont="1" applyBorder="1" applyAlignment="1">
      <alignment horizontal="left" vertical="center" wrapText="1"/>
    </xf>
    <xf numFmtId="0" fontId="9" fillId="0" borderId="5" xfId="0" applyFont="1" applyBorder="1" applyAlignment="1">
      <alignment horizontal="left" vertical="center" wrapText="1"/>
    </xf>
    <xf numFmtId="0" fontId="9" fillId="0" borderId="13" xfId="0" applyFont="1" applyBorder="1" applyAlignment="1">
      <alignment horizontal="left" vertical="center" wrapText="1"/>
    </xf>
    <xf numFmtId="0" fontId="0" fillId="0" borderId="81" xfId="0" applyBorder="1" applyAlignment="1">
      <alignment horizontal="right" vertical="center"/>
    </xf>
    <xf numFmtId="0" fontId="29"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0" fontId="0" fillId="0" borderId="1" xfId="0" applyFill="1" applyBorder="1" applyAlignment="1">
      <alignment vertical="center"/>
    </xf>
    <xf numFmtId="0" fontId="0" fillId="0" borderId="1" xfId="0" applyFill="1" applyBorder="1" applyAlignment="1" applyProtection="1">
      <alignment vertical="top"/>
      <protection locked="0"/>
    </xf>
    <xf numFmtId="0" fontId="0" fillId="0" borderId="1" xfId="0" applyFill="1" applyBorder="1" applyAlignment="1" applyProtection="1">
      <alignment vertical="top" wrapText="1"/>
      <protection locked="0"/>
    </xf>
    <xf numFmtId="0" fontId="0" fillId="0" borderId="1" xfId="0" applyFill="1" applyBorder="1" applyAlignment="1" applyProtection="1">
      <alignment vertical="center"/>
      <protection locked="0"/>
    </xf>
    <xf numFmtId="0" fontId="0" fillId="0" borderId="1" xfId="0" applyFill="1" applyBorder="1" applyAlignment="1">
      <alignment horizontal="center" vertical="center"/>
    </xf>
    <xf numFmtId="0" fontId="0" fillId="0" borderId="2" xfId="0" applyFill="1" applyBorder="1" applyAlignment="1" applyProtection="1">
      <alignment vertical="top" wrapText="1"/>
      <protection locked="0"/>
    </xf>
    <xf numFmtId="0" fontId="0" fillId="0" borderId="0" xfId="0" applyFill="1" applyAlignment="1" applyProtection="1">
      <alignment vertical="top" wrapText="1"/>
      <protection locked="0"/>
    </xf>
  </cellXfs>
  <cellStyles count="1">
    <cellStyle name="Normal" xfId="0" builtinId="0"/>
  </cellStyles>
  <dxfs count="10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theme="1" tint="0.499984740745262"/>
        </patternFill>
      </fill>
    </dxf>
    <dxf>
      <fill>
        <patternFill>
          <bgColor theme="1" tint="0.499984740745262"/>
        </patternFill>
      </fill>
    </dxf>
    <dxf>
      <fill>
        <patternFill>
          <bgColor rgb="FFFFC000"/>
        </patternFill>
      </fill>
    </dxf>
    <dxf>
      <fill>
        <patternFill>
          <bgColor theme="1" tint="0.499984740745262"/>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39994506668294322"/>
        </patternFill>
      </fill>
    </dxf>
    <dxf>
      <fill>
        <patternFill>
          <bgColor rgb="FFFFFF99"/>
        </patternFill>
      </fill>
    </dxf>
    <dxf>
      <fill>
        <patternFill>
          <bgColor theme="7" tint="0.39994506668294322"/>
        </patternFill>
      </fill>
    </dxf>
    <dxf>
      <fill>
        <patternFill>
          <bgColor rgb="FFFF505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7" tint="0.59996337778862885"/>
        </patternFill>
      </fill>
    </dxf>
    <dxf>
      <fill>
        <patternFill>
          <bgColor theme="9"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99"/>
        </patternFill>
      </fill>
    </dxf>
    <dxf>
      <fill>
        <patternFill>
          <bgColor rgb="FFFFFF99"/>
        </patternFill>
      </fill>
    </dxf>
    <dxf>
      <fill>
        <patternFill>
          <bgColor rgb="FFFFFF99"/>
        </patternFill>
      </fill>
    </dxf>
    <dxf>
      <fill>
        <patternFill>
          <bgColor theme="7" tint="0.39994506668294322"/>
        </patternFill>
      </fill>
    </dxf>
    <dxf>
      <fill>
        <patternFill>
          <bgColor theme="7" tint="0.39994506668294322"/>
        </patternFill>
      </fill>
    </dxf>
    <dxf>
      <fill>
        <patternFill>
          <bgColor rgb="FFFF5050"/>
        </patternFill>
      </fill>
    </dxf>
    <dxf>
      <fill>
        <patternFill>
          <bgColor rgb="FFFF5050"/>
        </patternFill>
      </fill>
    </dxf>
    <dxf>
      <fill>
        <patternFill>
          <bgColor rgb="FFFF5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99"/>
        </patternFill>
      </fill>
    </dxf>
    <dxf>
      <fill>
        <patternFill>
          <bgColor rgb="FFFFFF99"/>
        </patternFill>
      </fill>
    </dxf>
    <dxf>
      <fill>
        <patternFill>
          <bgColor rgb="FFFFFF99"/>
        </patternFill>
      </fill>
    </dxf>
    <dxf>
      <fill>
        <patternFill>
          <bgColor theme="7" tint="0.39994506668294322"/>
        </patternFill>
      </fill>
    </dxf>
    <dxf>
      <fill>
        <patternFill>
          <bgColor theme="7" tint="0.39994506668294322"/>
        </patternFill>
      </fill>
    </dxf>
    <dxf>
      <fill>
        <patternFill>
          <bgColor rgb="FFFF5050"/>
        </patternFill>
      </fill>
    </dxf>
    <dxf>
      <fill>
        <patternFill>
          <bgColor rgb="FFFF5050"/>
        </patternFill>
      </fill>
    </dxf>
    <dxf>
      <fill>
        <patternFill>
          <bgColor rgb="FFFF5050"/>
        </patternFill>
      </fill>
    </dxf>
  </dxfs>
  <tableStyles count="0" defaultTableStyle="TableStyleMedium2" defaultPivotStyle="PivotStyleLight16"/>
  <colors>
    <mruColors>
      <color rgb="FFFFFF99"/>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microsoft.com/office/2007/relationships/hdphoto" Target="../media/hdphoto4.wdp"/><Relationship Id="rId13" Type="http://schemas.microsoft.com/office/2007/relationships/hdphoto" Target="../media/hdphoto5.wdp"/><Relationship Id="rId18" Type="http://schemas.microsoft.com/office/2007/relationships/hdphoto" Target="../media/hdphoto7.wdp"/><Relationship Id="rId26" Type="http://schemas.openxmlformats.org/officeDocument/2006/relationships/image" Target="../media/image16.png"/><Relationship Id="rId3" Type="http://schemas.openxmlformats.org/officeDocument/2006/relationships/image" Target="../media/image2.png"/><Relationship Id="rId21" Type="http://schemas.openxmlformats.org/officeDocument/2006/relationships/image" Target="../media/image13.png"/><Relationship Id="rId34" Type="http://schemas.microsoft.com/office/2007/relationships/hdphoto" Target="../media/hdphoto13.wdp"/><Relationship Id="rId7" Type="http://schemas.openxmlformats.org/officeDocument/2006/relationships/image" Target="../media/image4.png"/><Relationship Id="rId12" Type="http://schemas.openxmlformats.org/officeDocument/2006/relationships/image" Target="../media/image8.png"/><Relationship Id="rId17" Type="http://schemas.openxmlformats.org/officeDocument/2006/relationships/image" Target="../media/image11.png"/><Relationship Id="rId25" Type="http://schemas.openxmlformats.org/officeDocument/2006/relationships/image" Target="../media/image15.png"/><Relationship Id="rId33" Type="http://schemas.openxmlformats.org/officeDocument/2006/relationships/image" Target="../media/image21.png"/><Relationship Id="rId2" Type="http://schemas.microsoft.com/office/2007/relationships/hdphoto" Target="../media/hdphoto1.wdp"/><Relationship Id="rId16" Type="http://schemas.microsoft.com/office/2007/relationships/hdphoto" Target="../media/hdphoto6.wdp"/><Relationship Id="rId20" Type="http://schemas.microsoft.com/office/2007/relationships/hdphoto" Target="../media/hdphoto8.wdp"/><Relationship Id="rId29" Type="http://schemas.openxmlformats.org/officeDocument/2006/relationships/image" Target="../media/image18.png"/><Relationship Id="rId1" Type="http://schemas.openxmlformats.org/officeDocument/2006/relationships/image" Target="../media/image1.png"/><Relationship Id="rId6" Type="http://schemas.microsoft.com/office/2007/relationships/hdphoto" Target="../media/hdphoto3.wdp"/><Relationship Id="rId11" Type="http://schemas.openxmlformats.org/officeDocument/2006/relationships/image" Target="../media/image7.png"/><Relationship Id="rId24" Type="http://schemas.microsoft.com/office/2007/relationships/hdphoto" Target="../media/hdphoto10.wdp"/><Relationship Id="rId32" Type="http://schemas.openxmlformats.org/officeDocument/2006/relationships/image" Target="../media/image20.png"/><Relationship Id="rId37" Type="http://schemas.openxmlformats.org/officeDocument/2006/relationships/image" Target="../media/image24.png"/><Relationship Id="rId5" Type="http://schemas.openxmlformats.org/officeDocument/2006/relationships/image" Target="../media/image3.png"/><Relationship Id="rId15" Type="http://schemas.openxmlformats.org/officeDocument/2006/relationships/image" Target="../media/image10.png"/><Relationship Id="rId23" Type="http://schemas.openxmlformats.org/officeDocument/2006/relationships/image" Target="../media/image14.png"/><Relationship Id="rId28" Type="http://schemas.microsoft.com/office/2007/relationships/hdphoto" Target="../media/hdphoto11.wdp"/><Relationship Id="rId36" Type="http://schemas.openxmlformats.org/officeDocument/2006/relationships/image" Target="../media/image23.png"/><Relationship Id="rId10" Type="http://schemas.openxmlformats.org/officeDocument/2006/relationships/image" Target="../media/image6.png"/><Relationship Id="rId19" Type="http://schemas.openxmlformats.org/officeDocument/2006/relationships/image" Target="../media/image12.png"/><Relationship Id="rId31" Type="http://schemas.openxmlformats.org/officeDocument/2006/relationships/image" Target="../media/image19.png"/><Relationship Id="rId4" Type="http://schemas.microsoft.com/office/2007/relationships/hdphoto" Target="../media/hdphoto2.wdp"/><Relationship Id="rId9" Type="http://schemas.openxmlformats.org/officeDocument/2006/relationships/image" Target="../media/image5.png"/><Relationship Id="rId14" Type="http://schemas.openxmlformats.org/officeDocument/2006/relationships/image" Target="../media/image9.png"/><Relationship Id="rId22" Type="http://schemas.microsoft.com/office/2007/relationships/hdphoto" Target="../media/hdphoto9.wdp"/><Relationship Id="rId27" Type="http://schemas.openxmlformats.org/officeDocument/2006/relationships/image" Target="../media/image17.png"/><Relationship Id="rId30" Type="http://schemas.microsoft.com/office/2007/relationships/hdphoto" Target="../media/hdphoto12.wdp"/><Relationship Id="rId35"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image" Target="../media/image17.png"/><Relationship Id="rId18" Type="http://schemas.microsoft.com/office/2007/relationships/hdphoto" Target="../media/hdphoto5.wdp"/><Relationship Id="rId26" Type="http://schemas.openxmlformats.org/officeDocument/2006/relationships/image" Target="../media/image13.png"/><Relationship Id="rId39" Type="http://schemas.openxmlformats.org/officeDocument/2006/relationships/image" Target="../media/image27.png"/><Relationship Id="rId3" Type="http://schemas.openxmlformats.org/officeDocument/2006/relationships/image" Target="../media/image2.png"/><Relationship Id="rId21" Type="http://schemas.microsoft.com/office/2007/relationships/hdphoto" Target="../media/hdphoto6.wdp"/><Relationship Id="rId34" Type="http://schemas.openxmlformats.org/officeDocument/2006/relationships/image" Target="../media/image16.png"/><Relationship Id="rId7" Type="http://schemas.openxmlformats.org/officeDocument/2006/relationships/image" Target="../media/image4.png"/><Relationship Id="rId12" Type="http://schemas.openxmlformats.org/officeDocument/2006/relationships/image" Target="../media/image7.png"/><Relationship Id="rId17" Type="http://schemas.openxmlformats.org/officeDocument/2006/relationships/image" Target="../media/image8.png"/><Relationship Id="rId25" Type="http://schemas.microsoft.com/office/2007/relationships/hdphoto" Target="../media/hdphoto8.wdp"/><Relationship Id="rId33" Type="http://schemas.openxmlformats.org/officeDocument/2006/relationships/image" Target="../media/image22.png"/><Relationship Id="rId38" Type="http://schemas.openxmlformats.org/officeDocument/2006/relationships/image" Target="../media/image26.png"/><Relationship Id="rId2" Type="http://schemas.microsoft.com/office/2007/relationships/hdphoto" Target="../media/hdphoto1.wdp"/><Relationship Id="rId16" Type="http://schemas.openxmlformats.org/officeDocument/2006/relationships/image" Target="../media/image20.png"/><Relationship Id="rId20" Type="http://schemas.openxmlformats.org/officeDocument/2006/relationships/image" Target="../media/image10.png"/><Relationship Id="rId29" Type="http://schemas.microsoft.com/office/2007/relationships/hdphoto" Target="../media/hdphoto10.wdp"/><Relationship Id="rId1" Type="http://schemas.openxmlformats.org/officeDocument/2006/relationships/image" Target="../media/image1.png"/><Relationship Id="rId6" Type="http://schemas.microsoft.com/office/2007/relationships/hdphoto" Target="../media/hdphoto3.wdp"/><Relationship Id="rId11" Type="http://schemas.openxmlformats.org/officeDocument/2006/relationships/image" Target="../media/image6.png"/><Relationship Id="rId24" Type="http://schemas.openxmlformats.org/officeDocument/2006/relationships/image" Target="../media/image12.png"/><Relationship Id="rId32" Type="http://schemas.microsoft.com/office/2007/relationships/hdphoto" Target="../media/hdphoto13.wdp"/><Relationship Id="rId37" Type="http://schemas.openxmlformats.org/officeDocument/2006/relationships/image" Target="../media/image25.png"/><Relationship Id="rId40" Type="http://schemas.openxmlformats.org/officeDocument/2006/relationships/image" Target="../media/image23.png"/><Relationship Id="rId5" Type="http://schemas.openxmlformats.org/officeDocument/2006/relationships/image" Target="../media/image3.png"/><Relationship Id="rId15" Type="http://schemas.openxmlformats.org/officeDocument/2006/relationships/image" Target="../media/image19.png"/><Relationship Id="rId23" Type="http://schemas.microsoft.com/office/2007/relationships/hdphoto" Target="../media/hdphoto7.wdp"/><Relationship Id="rId28" Type="http://schemas.openxmlformats.org/officeDocument/2006/relationships/image" Target="../media/image14.png"/><Relationship Id="rId36" Type="http://schemas.microsoft.com/office/2007/relationships/hdphoto" Target="../media/hdphoto12.wdp"/><Relationship Id="rId10" Type="http://schemas.openxmlformats.org/officeDocument/2006/relationships/image" Target="../media/image5.png"/><Relationship Id="rId19" Type="http://schemas.openxmlformats.org/officeDocument/2006/relationships/image" Target="../media/image9.png"/><Relationship Id="rId31" Type="http://schemas.openxmlformats.org/officeDocument/2006/relationships/image" Target="../media/image21.png"/><Relationship Id="rId4" Type="http://schemas.microsoft.com/office/2007/relationships/hdphoto" Target="../media/hdphoto2.wdp"/><Relationship Id="rId9" Type="http://schemas.openxmlformats.org/officeDocument/2006/relationships/image" Target="../media/image24.png"/><Relationship Id="rId14" Type="http://schemas.microsoft.com/office/2007/relationships/hdphoto" Target="../media/hdphoto11.wdp"/><Relationship Id="rId22" Type="http://schemas.openxmlformats.org/officeDocument/2006/relationships/image" Target="../media/image11.png"/><Relationship Id="rId27" Type="http://schemas.microsoft.com/office/2007/relationships/hdphoto" Target="../media/hdphoto9.wdp"/><Relationship Id="rId30" Type="http://schemas.openxmlformats.org/officeDocument/2006/relationships/image" Target="../media/image15.png"/><Relationship Id="rId35"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1</xdr:col>
      <xdr:colOff>368676</xdr:colOff>
      <xdr:row>142</xdr:row>
      <xdr:rowOff>23131</xdr:rowOff>
    </xdr:from>
    <xdr:to>
      <xdr:col>1</xdr:col>
      <xdr:colOff>944676</xdr:colOff>
      <xdr:row>142</xdr:row>
      <xdr:rowOff>599131</xdr:rowOff>
    </xdr:to>
    <xdr:pic>
      <xdr:nvPicPr>
        <xdr:cNvPr id="767" name="Picture 766">
          <a:extLst>
            <a:ext uri="{FF2B5EF4-FFF2-40B4-BE49-F238E27FC236}">
              <a16:creationId xmlns:a16="http://schemas.microsoft.com/office/drawing/2014/main" id="{3F2C980B-9471-4650-825C-A2FEA614C578}"/>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372462</xdr:colOff>
      <xdr:row>58</xdr:row>
      <xdr:rowOff>23583</xdr:rowOff>
    </xdr:from>
    <xdr:to>
      <xdr:col>1</xdr:col>
      <xdr:colOff>948462</xdr:colOff>
      <xdr:row>58</xdr:row>
      <xdr:rowOff>599583</xdr:rowOff>
    </xdr:to>
    <xdr:pic>
      <xdr:nvPicPr>
        <xdr:cNvPr id="768" name="Picture 767">
          <a:extLst>
            <a:ext uri="{FF2B5EF4-FFF2-40B4-BE49-F238E27FC236}">
              <a16:creationId xmlns:a16="http://schemas.microsoft.com/office/drawing/2014/main" id="{373325AB-E32D-4C54-A200-461C3C01341D}"/>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349249</xdr:colOff>
      <xdr:row>121</xdr:row>
      <xdr:rowOff>17234</xdr:rowOff>
    </xdr:from>
    <xdr:to>
      <xdr:col>1</xdr:col>
      <xdr:colOff>925249</xdr:colOff>
      <xdr:row>121</xdr:row>
      <xdr:rowOff>593234</xdr:rowOff>
    </xdr:to>
    <xdr:pic>
      <xdr:nvPicPr>
        <xdr:cNvPr id="769" name="Picture 768">
          <a:extLst>
            <a:ext uri="{FF2B5EF4-FFF2-40B4-BE49-F238E27FC236}">
              <a16:creationId xmlns:a16="http://schemas.microsoft.com/office/drawing/2014/main" id="{B328F80C-81FE-4FA2-BEEE-FFF20F37BA59}"/>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365123</xdr:colOff>
      <xdr:row>100</xdr:row>
      <xdr:rowOff>18141</xdr:rowOff>
    </xdr:from>
    <xdr:to>
      <xdr:col>1</xdr:col>
      <xdr:colOff>941123</xdr:colOff>
      <xdr:row>100</xdr:row>
      <xdr:rowOff>594141</xdr:rowOff>
    </xdr:to>
    <xdr:pic>
      <xdr:nvPicPr>
        <xdr:cNvPr id="770" name="Picture 769" descr="face shield">
          <a:extLst>
            <a:ext uri="{FF2B5EF4-FFF2-40B4-BE49-F238E27FC236}">
              <a16:creationId xmlns:a16="http://schemas.microsoft.com/office/drawing/2014/main" id="{CB992C44-A0E3-4A54-81FC-6CEAF679CFC8}"/>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363853</xdr:colOff>
      <xdr:row>33</xdr:row>
      <xdr:rowOff>15465</xdr:rowOff>
    </xdr:from>
    <xdr:to>
      <xdr:col>1</xdr:col>
      <xdr:colOff>939853</xdr:colOff>
      <xdr:row>33</xdr:row>
      <xdr:rowOff>591465</xdr:rowOff>
    </xdr:to>
    <xdr:pic>
      <xdr:nvPicPr>
        <xdr:cNvPr id="772" name="Picture 771">
          <a:extLst>
            <a:ext uri="{FF2B5EF4-FFF2-40B4-BE49-F238E27FC236}">
              <a16:creationId xmlns:a16="http://schemas.microsoft.com/office/drawing/2014/main" id="{FCF66204-4DED-46AE-912D-C72BF20D9C98}"/>
            </a:ext>
          </a:extLst>
        </xdr:cNvPr>
        <xdr:cNvPicPr>
          <a:picLocks noChangeAspect="1"/>
        </xdr:cNvPicPr>
      </xdr:nvPicPr>
      <xdr:blipFill>
        <a:blip xmlns:r="http://schemas.openxmlformats.org/officeDocument/2006/relationships" r:embed="rId9"/>
        <a:stretch>
          <a:fillRect/>
        </a:stretch>
      </xdr:blipFill>
      <xdr:spPr>
        <a:xfrm>
          <a:off x="601978" y="9645240"/>
          <a:ext cx="576000" cy="576000"/>
        </a:xfrm>
        <a:prstGeom prst="rect">
          <a:avLst/>
        </a:prstGeom>
      </xdr:spPr>
    </xdr:pic>
    <xdr:clientData/>
  </xdr:twoCellAnchor>
  <xdr:twoCellAnchor>
    <xdr:from>
      <xdr:col>1</xdr:col>
      <xdr:colOff>358776</xdr:colOff>
      <xdr:row>211</xdr:row>
      <xdr:rowOff>16328</xdr:rowOff>
    </xdr:from>
    <xdr:to>
      <xdr:col>1</xdr:col>
      <xdr:colOff>933957</xdr:colOff>
      <xdr:row>211</xdr:row>
      <xdr:rowOff>592328</xdr:rowOff>
    </xdr:to>
    <xdr:pic>
      <xdr:nvPicPr>
        <xdr:cNvPr id="773" name="Picture 772">
          <a:extLst>
            <a:ext uri="{FF2B5EF4-FFF2-40B4-BE49-F238E27FC236}">
              <a16:creationId xmlns:a16="http://schemas.microsoft.com/office/drawing/2014/main" id="{9EC1F9E4-0D52-41AE-987C-53905F71542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358454</xdr:colOff>
      <xdr:row>162</xdr:row>
      <xdr:rowOff>21635</xdr:rowOff>
    </xdr:from>
    <xdr:to>
      <xdr:col>1</xdr:col>
      <xdr:colOff>934454</xdr:colOff>
      <xdr:row>162</xdr:row>
      <xdr:rowOff>597635</xdr:rowOff>
    </xdr:to>
    <xdr:pic>
      <xdr:nvPicPr>
        <xdr:cNvPr id="774" name="Picture 773">
          <a:extLst>
            <a:ext uri="{FF2B5EF4-FFF2-40B4-BE49-F238E27FC236}">
              <a16:creationId xmlns:a16="http://schemas.microsoft.com/office/drawing/2014/main" id="{76B56B45-C256-447E-9B46-95654A7E00AA}"/>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366796</xdr:colOff>
      <xdr:row>255</xdr:row>
      <xdr:rowOff>22676</xdr:rowOff>
    </xdr:from>
    <xdr:to>
      <xdr:col>1</xdr:col>
      <xdr:colOff>942796</xdr:colOff>
      <xdr:row>255</xdr:row>
      <xdr:rowOff>598676</xdr:rowOff>
    </xdr:to>
    <xdr:pic>
      <xdr:nvPicPr>
        <xdr:cNvPr id="781" name="Picture 780">
          <a:extLst>
            <a:ext uri="{FF2B5EF4-FFF2-40B4-BE49-F238E27FC236}">
              <a16:creationId xmlns:a16="http://schemas.microsoft.com/office/drawing/2014/main" id="{12B66CE1-686B-4294-98E6-C2F7EA4CE040}"/>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378200</xdr:colOff>
      <xdr:row>285</xdr:row>
      <xdr:rowOff>15874</xdr:rowOff>
    </xdr:from>
    <xdr:to>
      <xdr:col>1</xdr:col>
      <xdr:colOff>954200</xdr:colOff>
      <xdr:row>285</xdr:row>
      <xdr:rowOff>591874</xdr:rowOff>
    </xdr:to>
    <xdr:pic>
      <xdr:nvPicPr>
        <xdr:cNvPr id="782" name="Picture 781">
          <a:extLst>
            <a:ext uri="{FF2B5EF4-FFF2-40B4-BE49-F238E27FC236}">
              <a16:creationId xmlns:a16="http://schemas.microsoft.com/office/drawing/2014/main" id="{0D54CEDF-B3DC-460A-9C81-4A1134967D3E}"/>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385981</xdr:colOff>
      <xdr:row>295</xdr:row>
      <xdr:rowOff>21543</xdr:rowOff>
    </xdr:from>
    <xdr:to>
      <xdr:col>1</xdr:col>
      <xdr:colOff>961981</xdr:colOff>
      <xdr:row>295</xdr:row>
      <xdr:rowOff>597543</xdr:rowOff>
    </xdr:to>
    <xdr:pic>
      <xdr:nvPicPr>
        <xdr:cNvPr id="783" name="Picture 782" descr="hair protection">
          <a:extLst>
            <a:ext uri="{FF2B5EF4-FFF2-40B4-BE49-F238E27FC236}">
              <a16:creationId xmlns:a16="http://schemas.microsoft.com/office/drawing/2014/main" id="{D4B6F95D-1629-4825-BE37-727B275C20DD}"/>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1</xdr:col>
      <xdr:colOff>382711</xdr:colOff>
      <xdr:row>304</xdr:row>
      <xdr:rowOff>23810</xdr:rowOff>
    </xdr:from>
    <xdr:to>
      <xdr:col>1</xdr:col>
      <xdr:colOff>958711</xdr:colOff>
      <xdr:row>304</xdr:row>
      <xdr:rowOff>599810</xdr:rowOff>
    </xdr:to>
    <xdr:pic>
      <xdr:nvPicPr>
        <xdr:cNvPr id="784" name="Picture 783" descr="head protection">
          <a:extLst>
            <a:ext uri="{FF2B5EF4-FFF2-40B4-BE49-F238E27FC236}">
              <a16:creationId xmlns:a16="http://schemas.microsoft.com/office/drawing/2014/main" id="{FCC20467-A634-4430-BE66-5C63081AED4E}"/>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2837" y="181835249"/>
          <a:ext cx="576000" cy="576000"/>
        </a:xfrm>
        <a:prstGeom prst="rect">
          <a:avLst/>
        </a:prstGeom>
        <a:noFill/>
        <a:ln>
          <a:noFill/>
        </a:ln>
      </xdr:spPr>
    </xdr:pic>
    <xdr:clientData/>
  </xdr:twoCellAnchor>
  <xdr:twoCellAnchor>
    <xdr:from>
      <xdr:col>1</xdr:col>
      <xdr:colOff>385942</xdr:colOff>
      <xdr:row>324</xdr:row>
      <xdr:rowOff>20407</xdr:rowOff>
    </xdr:from>
    <xdr:to>
      <xdr:col>1</xdr:col>
      <xdr:colOff>961942</xdr:colOff>
      <xdr:row>324</xdr:row>
      <xdr:rowOff>596407</xdr:rowOff>
    </xdr:to>
    <xdr:pic>
      <xdr:nvPicPr>
        <xdr:cNvPr id="785" name="Picture 784">
          <a:extLst>
            <a:ext uri="{FF2B5EF4-FFF2-40B4-BE49-F238E27FC236}">
              <a16:creationId xmlns:a16="http://schemas.microsoft.com/office/drawing/2014/main" id="{E944CFBA-4353-4EC2-B08D-A4F8A1477ED7}"/>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626068" y="193998233"/>
          <a:ext cx="576000" cy="576000"/>
        </a:xfrm>
        <a:prstGeom prst="rect">
          <a:avLst/>
        </a:prstGeom>
        <a:noFill/>
        <a:ln>
          <a:noFill/>
        </a:ln>
      </xdr:spPr>
    </xdr:pic>
    <xdr:clientData/>
  </xdr:twoCellAnchor>
  <xdr:twoCellAnchor>
    <xdr:from>
      <xdr:col>1</xdr:col>
      <xdr:colOff>380046</xdr:colOff>
      <xdr:row>333</xdr:row>
      <xdr:rowOff>18141</xdr:rowOff>
    </xdr:from>
    <xdr:to>
      <xdr:col>1</xdr:col>
      <xdr:colOff>956046</xdr:colOff>
      <xdr:row>333</xdr:row>
      <xdr:rowOff>594141</xdr:rowOff>
    </xdr:to>
    <xdr:pic>
      <xdr:nvPicPr>
        <xdr:cNvPr id="786" name="Picture 785" descr="safety vests">
          <a:extLst>
            <a:ext uri="{FF2B5EF4-FFF2-40B4-BE49-F238E27FC236}">
              <a16:creationId xmlns:a16="http://schemas.microsoft.com/office/drawing/2014/main" id="{DD42AF14-A596-4644-820F-F5A4797BC861}"/>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20172" y="199470841"/>
          <a:ext cx="576000" cy="576000"/>
        </a:xfrm>
        <a:prstGeom prst="rect">
          <a:avLst/>
        </a:prstGeom>
        <a:noFill/>
        <a:ln>
          <a:noFill/>
        </a:ln>
      </xdr:spPr>
    </xdr:pic>
    <xdr:clientData/>
  </xdr:twoCellAnchor>
  <xdr:twoCellAnchor>
    <xdr:from>
      <xdr:col>1</xdr:col>
      <xdr:colOff>387002</xdr:colOff>
      <xdr:row>312</xdr:row>
      <xdr:rowOff>18540</xdr:rowOff>
    </xdr:from>
    <xdr:to>
      <xdr:col>1</xdr:col>
      <xdr:colOff>963002</xdr:colOff>
      <xdr:row>312</xdr:row>
      <xdr:rowOff>594540</xdr:rowOff>
    </xdr:to>
    <xdr:pic>
      <xdr:nvPicPr>
        <xdr:cNvPr id="787" name="Picture 786">
          <a:extLst>
            <a:ext uri="{FF2B5EF4-FFF2-40B4-BE49-F238E27FC236}">
              <a16:creationId xmlns:a16="http://schemas.microsoft.com/office/drawing/2014/main" id="{72F49E30-D720-4D34-865D-0B87C0C845DD}"/>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7128" y="186696534"/>
          <a:ext cx="576000" cy="576000"/>
        </a:xfrm>
        <a:prstGeom prst="rect">
          <a:avLst/>
        </a:prstGeom>
        <a:noFill/>
      </xdr:spPr>
    </xdr:pic>
    <xdr:clientData/>
  </xdr:twoCellAnchor>
  <xdr:twoCellAnchor>
    <xdr:from>
      <xdr:col>1</xdr:col>
      <xdr:colOff>388649</xdr:colOff>
      <xdr:row>318</xdr:row>
      <xdr:rowOff>20411</xdr:rowOff>
    </xdr:from>
    <xdr:to>
      <xdr:col>1</xdr:col>
      <xdr:colOff>964649</xdr:colOff>
      <xdr:row>318</xdr:row>
      <xdr:rowOff>595416</xdr:rowOff>
    </xdr:to>
    <xdr:pic>
      <xdr:nvPicPr>
        <xdr:cNvPr id="788" name="Picture 787">
          <a:extLst>
            <a:ext uri="{FF2B5EF4-FFF2-40B4-BE49-F238E27FC236}">
              <a16:creationId xmlns:a16="http://schemas.microsoft.com/office/drawing/2014/main" id="{7DE57EB8-CF2E-4E46-B297-DB90351122C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28775" y="190348321"/>
          <a:ext cx="576000" cy="575005"/>
        </a:xfrm>
        <a:prstGeom prst="rect">
          <a:avLst/>
        </a:prstGeom>
      </xdr:spPr>
    </xdr:pic>
    <xdr:clientData/>
  </xdr:twoCellAnchor>
  <xdr:twoCellAnchor>
    <xdr:from>
      <xdr:col>1</xdr:col>
      <xdr:colOff>379338</xdr:colOff>
      <xdr:row>338</xdr:row>
      <xdr:rowOff>17007</xdr:rowOff>
    </xdr:from>
    <xdr:to>
      <xdr:col>1</xdr:col>
      <xdr:colOff>955338</xdr:colOff>
      <xdr:row>338</xdr:row>
      <xdr:rowOff>593007</xdr:rowOff>
    </xdr:to>
    <xdr:pic>
      <xdr:nvPicPr>
        <xdr:cNvPr id="791" name="Picture 790">
          <a:extLst>
            <a:ext uri="{FF2B5EF4-FFF2-40B4-BE49-F238E27FC236}">
              <a16:creationId xmlns:a16="http://schemas.microsoft.com/office/drawing/2014/main" id="{93E445FD-6693-44CA-AB1C-28490BADF7B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19464" y="202511303"/>
          <a:ext cx="576000" cy="576000"/>
        </a:xfrm>
        <a:prstGeom prst="rect">
          <a:avLst/>
        </a:prstGeom>
        <a:noFill/>
      </xdr:spPr>
    </xdr:pic>
    <xdr:clientData/>
  </xdr:twoCellAnchor>
  <xdr:twoCellAnchor>
    <xdr:from>
      <xdr:col>1</xdr:col>
      <xdr:colOff>356055</xdr:colOff>
      <xdr:row>195</xdr:row>
      <xdr:rowOff>17235</xdr:rowOff>
    </xdr:from>
    <xdr:to>
      <xdr:col>1</xdr:col>
      <xdr:colOff>932212</xdr:colOff>
      <xdr:row>195</xdr:row>
      <xdr:rowOff>593235</xdr:rowOff>
    </xdr:to>
    <xdr:pic>
      <xdr:nvPicPr>
        <xdr:cNvPr id="1050" name="Picture 1049">
          <a:extLst>
            <a:ext uri="{FF2B5EF4-FFF2-40B4-BE49-F238E27FC236}">
              <a16:creationId xmlns:a16="http://schemas.microsoft.com/office/drawing/2014/main" id="{BA4D32FB-F01B-411B-A15B-69A234D7E87C}"/>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354985</xdr:colOff>
      <xdr:row>179</xdr:row>
      <xdr:rowOff>17236</xdr:rowOff>
    </xdr:from>
    <xdr:to>
      <xdr:col>1</xdr:col>
      <xdr:colOff>930985</xdr:colOff>
      <xdr:row>179</xdr:row>
      <xdr:rowOff>593236</xdr:rowOff>
    </xdr:to>
    <xdr:pic>
      <xdr:nvPicPr>
        <xdr:cNvPr id="1102" name="Picture 1101">
          <a:extLst>
            <a:ext uri="{FF2B5EF4-FFF2-40B4-BE49-F238E27FC236}">
              <a16:creationId xmlns:a16="http://schemas.microsoft.com/office/drawing/2014/main" id="{23628F81-B78C-44AF-AB9B-FB5DB2BA6A76}"/>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363698</xdr:colOff>
      <xdr:row>227</xdr:row>
      <xdr:rowOff>17690</xdr:rowOff>
    </xdr:from>
    <xdr:to>
      <xdr:col>1</xdr:col>
      <xdr:colOff>939698</xdr:colOff>
      <xdr:row>227</xdr:row>
      <xdr:rowOff>593690</xdr:rowOff>
    </xdr:to>
    <xdr:pic>
      <xdr:nvPicPr>
        <xdr:cNvPr id="1203" name="Picture 1202">
          <a:extLst>
            <a:ext uri="{FF2B5EF4-FFF2-40B4-BE49-F238E27FC236}">
              <a16:creationId xmlns:a16="http://schemas.microsoft.com/office/drawing/2014/main" id="{2410ADA5-2D80-42EE-B660-ABA69084B2CC}"/>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376921</xdr:colOff>
      <xdr:row>265</xdr:row>
      <xdr:rowOff>12108</xdr:rowOff>
    </xdr:from>
    <xdr:to>
      <xdr:col>1</xdr:col>
      <xdr:colOff>951993</xdr:colOff>
      <xdr:row>265</xdr:row>
      <xdr:rowOff>588108</xdr:rowOff>
    </xdr:to>
    <xdr:pic>
      <xdr:nvPicPr>
        <xdr:cNvPr id="1279" name="Picture 1278">
          <a:extLst>
            <a:ext uri="{FF2B5EF4-FFF2-40B4-BE49-F238E27FC236}">
              <a16:creationId xmlns:a16="http://schemas.microsoft.com/office/drawing/2014/main" id="{85A90A2F-AF13-4602-9A80-85FD0B9561E9}"/>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380202</xdr:colOff>
      <xdr:row>329</xdr:row>
      <xdr:rowOff>17010</xdr:rowOff>
    </xdr:from>
    <xdr:to>
      <xdr:col>1</xdr:col>
      <xdr:colOff>956202</xdr:colOff>
      <xdr:row>329</xdr:row>
      <xdr:rowOff>593010</xdr:rowOff>
    </xdr:to>
    <xdr:pic>
      <xdr:nvPicPr>
        <xdr:cNvPr id="1399" name="Picture 1398">
          <a:extLst>
            <a:ext uri="{FF2B5EF4-FFF2-40B4-BE49-F238E27FC236}">
              <a16:creationId xmlns:a16="http://schemas.microsoft.com/office/drawing/2014/main" id="{A283270E-95F7-4100-AB31-CEA87CD835A3}"/>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620328" y="197036432"/>
          <a:ext cx="576000" cy="576000"/>
        </a:xfrm>
        <a:prstGeom prst="rect">
          <a:avLst/>
        </a:prstGeom>
      </xdr:spPr>
    </xdr:pic>
    <xdr:clientData/>
  </xdr:twoCellAnchor>
  <xdr:twoCellAnchor>
    <xdr:from>
      <xdr:col>1</xdr:col>
      <xdr:colOff>380535</xdr:colOff>
      <xdr:row>336</xdr:row>
      <xdr:rowOff>17008</xdr:rowOff>
    </xdr:from>
    <xdr:to>
      <xdr:col>1</xdr:col>
      <xdr:colOff>956535</xdr:colOff>
      <xdr:row>336</xdr:row>
      <xdr:rowOff>593008</xdr:rowOff>
    </xdr:to>
    <xdr:pic>
      <xdr:nvPicPr>
        <xdr:cNvPr id="1407" name="Picture 1406">
          <a:extLst>
            <a:ext uri="{FF2B5EF4-FFF2-40B4-BE49-F238E27FC236}">
              <a16:creationId xmlns:a16="http://schemas.microsoft.com/office/drawing/2014/main" id="{DC7A89EB-387F-4553-897A-6B915AE79713}"/>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620661" y="201294666"/>
          <a:ext cx="576000" cy="576000"/>
        </a:xfrm>
        <a:prstGeom prst="rect">
          <a:avLst/>
        </a:prstGeom>
      </xdr:spPr>
    </xdr:pic>
    <xdr:clientData/>
  </xdr:twoCellAnchor>
  <xdr:twoCellAnchor>
    <xdr:from>
      <xdr:col>4</xdr:col>
      <xdr:colOff>443370</xdr:colOff>
      <xdr:row>336</xdr:row>
      <xdr:rowOff>17007</xdr:rowOff>
    </xdr:from>
    <xdr:to>
      <xdr:col>4</xdr:col>
      <xdr:colOff>875370</xdr:colOff>
      <xdr:row>336</xdr:row>
      <xdr:rowOff>449007</xdr:rowOff>
    </xdr:to>
    <xdr:pic>
      <xdr:nvPicPr>
        <xdr:cNvPr id="1408" name="Picture 1407">
          <a:extLst>
            <a:ext uri="{FF2B5EF4-FFF2-40B4-BE49-F238E27FC236}">
              <a16:creationId xmlns:a16="http://schemas.microsoft.com/office/drawing/2014/main" id="{8B09F644-95DA-46FA-AF9B-D4A78715462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8895855" y="156124137"/>
          <a:ext cx="430095" cy="430095"/>
        </a:xfrm>
        <a:prstGeom prst="rect">
          <a:avLst/>
        </a:prstGeom>
        <a:noFill/>
      </xdr:spPr>
    </xdr:pic>
    <xdr:clientData/>
  </xdr:twoCellAnchor>
  <xdr:twoCellAnchor>
    <xdr:from>
      <xdr:col>4</xdr:col>
      <xdr:colOff>457020</xdr:colOff>
      <xdr:row>337</xdr:row>
      <xdr:rowOff>30345</xdr:rowOff>
    </xdr:from>
    <xdr:to>
      <xdr:col>4</xdr:col>
      <xdr:colOff>889020</xdr:colOff>
      <xdr:row>337</xdr:row>
      <xdr:rowOff>452820</xdr:rowOff>
    </xdr:to>
    <xdr:pic>
      <xdr:nvPicPr>
        <xdr:cNvPr id="1409" name="Picture 1408">
          <a:extLst>
            <a:ext uri="{FF2B5EF4-FFF2-40B4-BE49-F238E27FC236}">
              <a16:creationId xmlns:a16="http://schemas.microsoft.com/office/drawing/2014/main" id="{762CCEBB-B397-4FE3-A862-02219553ABD4}"/>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8907600" y="156592770"/>
          <a:ext cx="430095" cy="420570"/>
        </a:xfrm>
        <a:prstGeom prst="rect">
          <a:avLst/>
        </a:prstGeom>
        <a:ln>
          <a:solidFill>
            <a:schemeClr val="tx1"/>
          </a:solidFill>
        </a:ln>
      </xdr:spPr>
    </xdr:pic>
    <xdr:clientData/>
  </xdr:twoCellAnchor>
  <xdr:twoCellAnchor>
    <xdr:from>
      <xdr:col>4</xdr:col>
      <xdr:colOff>412998</xdr:colOff>
      <xdr:row>338</xdr:row>
      <xdr:rowOff>30344</xdr:rowOff>
    </xdr:from>
    <xdr:to>
      <xdr:col>4</xdr:col>
      <xdr:colOff>952998</xdr:colOff>
      <xdr:row>338</xdr:row>
      <xdr:rowOff>570344</xdr:rowOff>
    </xdr:to>
    <xdr:pic>
      <xdr:nvPicPr>
        <xdr:cNvPr id="1410" name="Picture 1409">
          <a:extLst>
            <a:ext uri="{FF2B5EF4-FFF2-40B4-BE49-F238E27FC236}">
              <a16:creationId xmlns:a16="http://schemas.microsoft.com/office/drawing/2014/main" id="{12664C29-388C-43A5-832B-A170B92DF759}"/>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94878" y="202524640"/>
          <a:ext cx="540000" cy="540000"/>
        </a:xfrm>
        <a:prstGeom prst="rect">
          <a:avLst/>
        </a:prstGeom>
        <a:ln>
          <a:solidFill>
            <a:schemeClr val="tx1"/>
          </a:solidFill>
        </a:ln>
      </xdr:spPr>
    </xdr:pic>
    <xdr:clientData/>
  </xdr:twoCellAnchor>
  <xdr:twoCellAnchor>
    <xdr:from>
      <xdr:col>1</xdr:col>
      <xdr:colOff>372916</xdr:colOff>
      <xdr:row>79</xdr:row>
      <xdr:rowOff>19050</xdr:rowOff>
    </xdr:from>
    <xdr:to>
      <xdr:col>1</xdr:col>
      <xdr:colOff>948916</xdr:colOff>
      <xdr:row>79</xdr:row>
      <xdr:rowOff>595050</xdr:rowOff>
    </xdr:to>
    <xdr:pic>
      <xdr:nvPicPr>
        <xdr:cNvPr id="27" name="Picture 26">
          <a:extLst>
            <a:ext uri="{FF2B5EF4-FFF2-40B4-BE49-F238E27FC236}">
              <a16:creationId xmlns:a16="http://schemas.microsoft.com/office/drawing/2014/main" id="{19965AAC-2584-41C1-83DB-E9E7EDA86920}"/>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363853</xdr:colOff>
      <xdr:row>34</xdr:row>
      <xdr:rowOff>15465</xdr:rowOff>
    </xdr:from>
    <xdr:to>
      <xdr:col>1</xdr:col>
      <xdr:colOff>939853</xdr:colOff>
      <xdr:row>34</xdr:row>
      <xdr:rowOff>591465</xdr:rowOff>
    </xdr:to>
    <xdr:pic>
      <xdr:nvPicPr>
        <xdr:cNvPr id="1625" name="Picture 1624">
          <a:extLst>
            <a:ext uri="{FF2B5EF4-FFF2-40B4-BE49-F238E27FC236}">
              <a16:creationId xmlns:a16="http://schemas.microsoft.com/office/drawing/2014/main" id="{0C2F32EC-569F-4F47-B42A-98A60658BD72}"/>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35</xdr:row>
      <xdr:rowOff>15465</xdr:rowOff>
    </xdr:from>
    <xdr:to>
      <xdr:col>1</xdr:col>
      <xdr:colOff>939853</xdr:colOff>
      <xdr:row>35</xdr:row>
      <xdr:rowOff>591465</xdr:rowOff>
    </xdr:to>
    <xdr:pic>
      <xdr:nvPicPr>
        <xdr:cNvPr id="1626" name="Picture 1625">
          <a:extLst>
            <a:ext uri="{FF2B5EF4-FFF2-40B4-BE49-F238E27FC236}">
              <a16:creationId xmlns:a16="http://schemas.microsoft.com/office/drawing/2014/main" id="{3B73C050-4A09-4E9B-BAFB-67B84D7EDCD1}"/>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36</xdr:row>
      <xdr:rowOff>15465</xdr:rowOff>
    </xdr:from>
    <xdr:to>
      <xdr:col>1</xdr:col>
      <xdr:colOff>939853</xdr:colOff>
      <xdr:row>36</xdr:row>
      <xdr:rowOff>591465</xdr:rowOff>
    </xdr:to>
    <xdr:pic>
      <xdr:nvPicPr>
        <xdr:cNvPr id="1627" name="Picture 1626">
          <a:extLst>
            <a:ext uri="{FF2B5EF4-FFF2-40B4-BE49-F238E27FC236}">
              <a16:creationId xmlns:a16="http://schemas.microsoft.com/office/drawing/2014/main" id="{C71AEE8C-87DD-44FE-BFF0-BEB237CB69A6}"/>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37</xdr:row>
      <xdr:rowOff>15465</xdr:rowOff>
    </xdr:from>
    <xdr:to>
      <xdr:col>1</xdr:col>
      <xdr:colOff>939853</xdr:colOff>
      <xdr:row>37</xdr:row>
      <xdr:rowOff>591465</xdr:rowOff>
    </xdr:to>
    <xdr:pic>
      <xdr:nvPicPr>
        <xdr:cNvPr id="1628" name="Picture 1627">
          <a:extLst>
            <a:ext uri="{FF2B5EF4-FFF2-40B4-BE49-F238E27FC236}">
              <a16:creationId xmlns:a16="http://schemas.microsoft.com/office/drawing/2014/main" id="{6E57A0BB-5CB6-4F43-B8B9-7893E01903FC}"/>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38</xdr:row>
      <xdr:rowOff>15465</xdr:rowOff>
    </xdr:from>
    <xdr:to>
      <xdr:col>1</xdr:col>
      <xdr:colOff>939853</xdr:colOff>
      <xdr:row>38</xdr:row>
      <xdr:rowOff>591465</xdr:rowOff>
    </xdr:to>
    <xdr:pic>
      <xdr:nvPicPr>
        <xdr:cNvPr id="1629" name="Picture 1628">
          <a:extLst>
            <a:ext uri="{FF2B5EF4-FFF2-40B4-BE49-F238E27FC236}">
              <a16:creationId xmlns:a16="http://schemas.microsoft.com/office/drawing/2014/main" id="{394B47DE-1F3B-4130-9483-E5AF6D030394}"/>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39</xdr:row>
      <xdr:rowOff>15465</xdr:rowOff>
    </xdr:from>
    <xdr:to>
      <xdr:col>1</xdr:col>
      <xdr:colOff>939853</xdr:colOff>
      <xdr:row>39</xdr:row>
      <xdr:rowOff>591465</xdr:rowOff>
    </xdr:to>
    <xdr:pic>
      <xdr:nvPicPr>
        <xdr:cNvPr id="1630" name="Picture 1629">
          <a:extLst>
            <a:ext uri="{FF2B5EF4-FFF2-40B4-BE49-F238E27FC236}">
              <a16:creationId xmlns:a16="http://schemas.microsoft.com/office/drawing/2014/main" id="{8F29D257-C9D5-478E-BE00-3CF8B5925D25}"/>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40</xdr:row>
      <xdr:rowOff>15465</xdr:rowOff>
    </xdr:from>
    <xdr:to>
      <xdr:col>1</xdr:col>
      <xdr:colOff>939853</xdr:colOff>
      <xdr:row>40</xdr:row>
      <xdr:rowOff>591465</xdr:rowOff>
    </xdr:to>
    <xdr:pic>
      <xdr:nvPicPr>
        <xdr:cNvPr id="1631" name="Picture 1630">
          <a:extLst>
            <a:ext uri="{FF2B5EF4-FFF2-40B4-BE49-F238E27FC236}">
              <a16:creationId xmlns:a16="http://schemas.microsoft.com/office/drawing/2014/main" id="{3EBF8D57-02FD-487D-955A-C2E51C08322F}"/>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41</xdr:row>
      <xdr:rowOff>15465</xdr:rowOff>
    </xdr:from>
    <xdr:to>
      <xdr:col>1</xdr:col>
      <xdr:colOff>939853</xdr:colOff>
      <xdr:row>41</xdr:row>
      <xdr:rowOff>591465</xdr:rowOff>
    </xdr:to>
    <xdr:pic>
      <xdr:nvPicPr>
        <xdr:cNvPr id="1632" name="Picture 1631">
          <a:extLst>
            <a:ext uri="{FF2B5EF4-FFF2-40B4-BE49-F238E27FC236}">
              <a16:creationId xmlns:a16="http://schemas.microsoft.com/office/drawing/2014/main" id="{821256B1-92A9-4603-BC0A-9C27C1088D9B}"/>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42</xdr:row>
      <xdr:rowOff>15465</xdr:rowOff>
    </xdr:from>
    <xdr:to>
      <xdr:col>1</xdr:col>
      <xdr:colOff>939853</xdr:colOff>
      <xdr:row>42</xdr:row>
      <xdr:rowOff>591465</xdr:rowOff>
    </xdr:to>
    <xdr:pic>
      <xdr:nvPicPr>
        <xdr:cNvPr id="1633" name="Picture 1632">
          <a:extLst>
            <a:ext uri="{FF2B5EF4-FFF2-40B4-BE49-F238E27FC236}">
              <a16:creationId xmlns:a16="http://schemas.microsoft.com/office/drawing/2014/main" id="{840AB1DD-B6A1-4C71-8EAD-36CD6618EDC2}"/>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43</xdr:row>
      <xdr:rowOff>15465</xdr:rowOff>
    </xdr:from>
    <xdr:to>
      <xdr:col>1</xdr:col>
      <xdr:colOff>939853</xdr:colOff>
      <xdr:row>43</xdr:row>
      <xdr:rowOff>591465</xdr:rowOff>
    </xdr:to>
    <xdr:pic>
      <xdr:nvPicPr>
        <xdr:cNvPr id="1634" name="Picture 1633">
          <a:extLst>
            <a:ext uri="{FF2B5EF4-FFF2-40B4-BE49-F238E27FC236}">
              <a16:creationId xmlns:a16="http://schemas.microsoft.com/office/drawing/2014/main" id="{7FC1BDF3-A81E-456F-B88A-FBFFC483BB7C}"/>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44</xdr:row>
      <xdr:rowOff>15465</xdr:rowOff>
    </xdr:from>
    <xdr:to>
      <xdr:col>1</xdr:col>
      <xdr:colOff>939853</xdr:colOff>
      <xdr:row>44</xdr:row>
      <xdr:rowOff>591465</xdr:rowOff>
    </xdr:to>
    <xdr:pic>
      <xdr:nvPicPr>
        <xdr:cNvPr id="1635" name="Picture 1634">
          <a:extLst>
            <a:ext uri="{FF2B5EF4-FFF2-40B4-BE49-F238E27FC236}">
              <a16:creationId xmlns:a16="http://schemas.microsoft.com/office/drawing/2014/main" id="{E235E504-CDC0-4F66-B7F9-CFD5A7B9DD6D}"/>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45</xdr:row>
      <xdr:rowOff>15465</xdr:rowOff>
    </xdr:from>
    <xdr:to>
      <xdr:col>1</xdr:col>
      <xdr:colOff>939853</xdr:colOff>
      <xdr:row>45</xdr:row>
      <xdr:rowOff>591465</xdr:rowOff>
    </xdr:to>
    <xdr:pic>
      <xdr:nvPicPr>
        <xdr:cNvPr id="1636" name="Picture 1635">
          <a:extLst>
            <a:ext uri="{FF2B5EF4-FFF2-40B4-BE49-F238E27FC236}">
              <a16:creationId xmlns:a16="http://schemas.microsoft.com/office/drawing/2014/main" id="{7F507B85-FFA7-4C9F-80DD-CFBFD11A162A}"/>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46</xdr:row>
      <xdr:rowOff>15465</xdr:rowOff>
    </xdr:from>
    <xdr:to>
      <xdr:col>1</xdr:col>
      <xdr:colOff>939853</xdr:colOff>
      <xdr:row>46</xdr:row>
      <xdr:rowOff>591465</xdr:rowOff>
    </xdr:to>
    <xdr:pic>
      <xdr:nvPicPr>
        <xdr:cNvPr id="1637" name="Picture 1636">
          <a:extLst>
            <a:ext uri="{FF2B5EF4-FFF2-40B4-BE49-F238E27FC236}">
              <a16:creationId xmlns:a16="http://schemas.microsoft.com/office/drawing/2014/main" id="{253014C1-7970-4F83-8187-AF6042AA1453}"/>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47</xdr:row>
      <xdr:rowOff>15465</xdr:rowOff>
    </xdr:from>
    <xdr:to>
      <xdr:col>1</xdr:col>
      <xdr:colOff>939853</xdr:colOff>
      <xdr:row>47</xdr:row>
      <xdr:rowOff>591465</xdr:rowOff>
    </xdr:to>
    <xdr:pic>
      <xdr:nvPicPr>
        <xdr:cNvPr id="1638" name="Picture 1637">
          <a:extLst>
            <a:ext uri="{FF2B5EF4-FFF2-40B4-BE49-F238E27FC236}">
              <a16:creationId xmlns:a16="http://schemas.microsoft.com/office/drawing/2014/main" id="{9A04A4D1-61DE-4DC1-B390-560D147ECA92}"/>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48</xdr:row>
      <xdr:rowOff>15465</xdr:rowOff>
    </xdr:from>
    <xdr:to>
      <xdr:col>1</xdr:col>
      <xdr:colOff>939853</xdr:colOff>
      <xdr:row>48</xdr:row>
      <xdr:rowOff>591465</xdr:rowOff>
    </xdr:to>
    <xdr:pic>
      <xdr:nvPicPr>
        <xdr:cNvPr id="1639" name="Picture 1638">
          <a:extLst>
            <a:ext uri="{FF2B5EF4-FFF2-40B4-BE49-F238E27FC236}">
              <a16:creationId xmlns:a16="http://schemas.microsoft.com/office/drawing/2014/main" id="{26E3D962-311E-469A-AEB3-E6A005C464A9}"/>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49</xdr:row>
      <xdr:rowOff>15465</xdr:rowOff>
    </xdr:from>
    <xdr:to>
      <xdr:col>1</xdr:col>
      <xdr:colOff>939853</xdr:colOff>
      <xdr:row>49</xdr:row>
      <xdr:rowOff>591465</xdr:rowOff>
    </xdr:to>
    <xdr:pic>
      <xdr:nvPicPr>
        <xdr:cNvPr id="1640" name="Picture 1639">
          <a:extLst>
            <a:ext uri="{FF2B5EF4-FFF2-40B4-BE49-F238E27FC236}">
              <a16:creationId xmlns:a16="http://schemas.microsoft.com/office/drawing/2014/main" id="{1572C492-BCD4-448A-B60B-2E0236EA1352}"/>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50</xdr:row>
      <xdr:rowOff>15465</xdr:rowOff>
    </xdr:from>
    <xdr:to>
      <xdr:col>1</xdr:col>
      <xdr:colOff>939853</xdr:colOff>
      <xdr:row>50</xdr:row>
      <xdr:rowOff>591465</xdr:rowOff>
    </xdr:to>
    <xdr:pic>
      <xdr:nvPicPr>
        <xdr:cNvPr id="1641" name="Picture 1640">
          <a:extLst>
            <a:ext uri="{FF2B5EF4-FFF2-40B4-BE49-F238E27FC236}">
              <a16:creationId xmlns:a16="http://schemas.microsoft.com/office/drawing/2014/main" id="{481E970B-DE9D-4DBC-95DE-C2CD4B31E833}"/>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51</xdr:row>
      <xdr:rowOff>15465</xdr:rowOff>
    </xdr:from>
    <xdr:to>
      <xdr:col>1</xdr:col>
      <xdr:colOff>939853</xdr:colOff>
      <xdr:row>51</xdr:row>
      <xdr:rowOff>591465</xdr:rowOff>
    </xdr:to>
    <xdr:pic>
      <xdr:nvPicPr>
        <xdr:cNvPr id="1642" name="Picture 1641">
          <a:extLst>
            <a:ext uri="{FF2B5EF4-FFF2-40B4-BE49-F238E27FC236}">
              <a16:creationId xmlns:a16="http://schemas.microsoft.com/office/drawing/2014/main" id="{96D46AEA-5CC3-49D4-B1F1-BBC475E0455F}"/>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52</xdr:row>
      <xdr:rowOff>15465</xdr:rowOff>
    </xdr:from>
    <xdr:to>
      <xdr:col>1</xdr:col>
      <xdr:colOff>939853</xdr:colOff>
      <xdr:row>52</xdr:row>
      <xdr:rowOff>591465</xdr:rowOff>
    </xdr:to>
    <xdr:pic>
      <xdr:nvPicPr>
        <xdr:cNvPr id="1643" name="Picture 1642">
          <a:extLst>
            <a:ext uri="{FF2B5EF4-FFF2-40B4-BE49-F238E27FC236}">
              <a16:creationId xmlns:a16="http://schemas.microsoft.com/office/drawing/2014/main" id="{9946BBF8-2C06-493A-A851-E0DFEDA88BC1}"/>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53</xdr:row>
      <xdr:rowOff>15465</xdr:rowOff>
    </xdr:from>
    <xdr:to>
      <xdr:col>1</xdr:col>
      <xdr:colOff>939853</xdr:colOff>
      <xdr:row>53</xdr:row>
      <xdr:rowOff>591465</xdr:rowOff>
    </xdr:to>
    <xdr:pic>
      <xdr:nvPicPr>
        <xdr:cNvPr id="1644" name="Picture 1643">
          <a:extLst>
            <a:ext uri="{FF2B5EF4-FFF2-40B4-BE49-F238E27FC236}">
              <a16:creationId xmlns:a16="http://schemas.microsoft.com/office/drawing/2014/main" id="{CC3450D7-2AE1-46BD-93F9-83A9579AB57D}"/>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54</xdr:row>
      <xdr:rowOff>15465</xdr:rowOff>
    </xdr:from>
    <xdr:to>
      <xdr:col>1</xdr:col>
      <xdr:colOff>939853</xdr:colOff>
      <xdr:row>54</xdr:row>
      <xdr:rowOff>591465</xdr:rowOff>
    </xdr:to>
    <xdr:pic>
      <xdr:nvPicPr>
        <xdr:cNvPr id="1645" name="Picture 1644">
          <a:extLst>
            <a:ext uri="{FF2B5EF4-FFF2-40B4-BE49-F238E27FC236}">
              <a16:creationId xmlns:a16="http://schemas.microsoft.com/office/drawing/2014/main" id="{09B2B06E-3EC8-4281-9AA1-22BB01D2A98C}"/>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55</xdr:row>
      <xdr:rowOff>15465</xdr:rowOff>
    </xdr:from>
    <xdr:to>
      <xdr:col>1</xdr:col>
      <xdr:colOff>939853</xdr:colOff>
      <xdr:row>55</xdr:row>
      <xdr:rowOff>591465</xdr:rowOff>
    </xdr:to>
    <xdr:pic>
      <xdr:nvPicPr>
        <xdr:cNvPr id="1646" name="Picture 1645">
          <a:extLst>
            <a:ext uri="{FF2B5EF4-FFF2-40B4-BE49-F238E27FC236}">
              <a16:creationId xmlns:a16="http://schemas.microsoft.com/office/drawing/2014/main" id="{C8A99E55-1C84-4054-BCD5-4B9D2644FF58}"/>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56</xdr:row>
      <xdr:rowOff>15465</xdr:rowOff>
    </xdr:from>
    <xdr:to>
      <xdr:col>1</xdr:col>
      <xdr:colOff>939853</xdr:colOff>
      <xdr:row>56</xdr:row>
      <xdr:rowOff>591465</xdr:rowOff>
    </xdr:to>
    <xdr:pic>
      <xdr:nvPicPr>
        <xdr:cNvPr id="1647" name="Picture 1646">
          <a:extLst>
            <a:ext uri="{FF2B5EF4-FFF2-40B4-BE49-F238E27FC236}">
              <a16:creationId xmlns:a16="http://schemas.microsoft.com/office/drawing/2014/main" id="{FB8F5D4B-8D7B-4A17-94BB-97A67F8E924C}"/>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363853</xdr:colOff>
      <xdr:row>57</xdr:row>
      <xdr:rowOff>15465</xdr:rowOff>
    </xdr:from>
    <xdr:to>
      <xdr:col>1</xdr:col>
      <xdr:colOff>939853</xdr:colOff>
      <xdr:row>57</xdr:row>
      <xdr:rowOff>591465</xdr:rowOff>
    </xdr:to>
    <xdr:pic>
      <xdr:nvPicPr>
        <xdr:cNvPr id="1648" name="Picture 1647">
          <a:extLst>
            <a:ext uri="{FF2B5EF4-FFF2-40B4-BE49-F238E27FC236}">
              <a16:creationId xmlns:a16="http://schemas.microsoft.com/office/drawing/2014/main" id="{EEC03F12-F975-4CD7-995E-B146DD461BFB}"/>
            </a:ext>
          </a:extLst>
        </xdr:cNvPr>
        <xdr:cNvPicPr>
          <a:picLocks noChangeAspect="1"/>
        </xdr:cNvPicPr>
      </xdr:nvPicPr>
      <xdr:blipFill>
        <a:blip xmlns:r="http://schemas.openxmlformats.org/officeDocument/2006/relationships" r:embed="rId9"/>
        <a:stretch>
          <a:fillRect/>
        </a:stretch>
      </xdr:blipFill>
      <xdr:spPr>
        <a:xfrm>
          <a:off x="603979" y="9672534"/>
          <a:ext cx="576000" cy="576000"/>
        </a:xfrm>
        <a:prstGeom prst="rect">
          <a:avLst/>
        </a:prstGeom>
      </xdr:spPr>
    </xdr:pic>
    <xdr:clientData/>
  </xdr:twoCellAnchor>
  <xdr:twoCellAnchor>
    <xdr:from>
      <xdr:col>1</xdr:col>
      <xdr:colOff>372462</xdr:colOff>
      <xdr:row>59</xdr:row>
      <xdr:rowOff>23583</xdr:rowOff>
    </xdr:from>
    <xdr:to>
      <xdr:col>1</xdr:col>
      <xdr:colOff>948462</xdr:colOff>
      <xdr:row>59</xdr:row>
      <xdr:rowOff>599583</xdr:rowOff>
    </xdr:to>
    <xdr:pic>
      <xdr:nvPicPr>
        <xdr:cNvPr id="1649" name="Picture 1648">
          <a:extLst>
            <a:ext uri="{FF2B5EF4-FFF2-40B4-BE49-F238E27FC236}">
              <a16:creationId xmlns:a16="http://schemas.microsoft.com/office/drawing/2014/main" id="{E5057317-4874-499E-9B3B-72EF66D97B88}"/>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60</xdr:row>
      <xdr:rowOff>23583</xdr:rowOff>
    </xdr:from>
    <xdr:to>
      <xdr:col>1</xdr:col>
      <xdr:colOff>948462</xdr:colOff>
      <xdr:row>60</xdr:row>
      <xdr:rowOff>599583</xdr:rowOff>
    </xdr:to>
    <xdr:pic>
      <xdr:nvPicPr>
        <xdr:cNvPr id="1650" name="Picture 1649">
          <a:extLst>
            <a:ext uri="{FF2B5EF4-FFF2-40B4-BE49-F238E27FC236}">
              <a16:creationId xmlns:a16="http://schemas.microsoft.com/office/drawing/2014/main" id="{AC09CA4D-1079-473B-A116-AB03044AB8B5}"/>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61</xdr:row>
      <xdr:rowOff>23583</xdr:rowOff>
    </xdr:from>
    <xdr:to>
      <xdr:col>1</xdr:col>
      <xdr:colOff>948462</xdr:colOff>
      <xdr:row>61</xdr:row>
      <xdr:rowOff>599583</xdr:rowOff>
    </xdr:to>
    <xdr:pic>
      <xdr:nvPicPr>
        <xdr:cNvPr id="1651" name="Picture 1650">
          <a:extLst>
            <a:ext uri="{FF2B5EF4-FFF2-40B4-BE49-F238E27FC236}">
              <a16:creationId xmlns:a16="http://schemas.microsoft.com/office/drawing/2014/main" id="{74532C9D-3A38-4989-9D48-B81CCE68FEF8}"/>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62</xdr:row>
      <xdr:rowOff>23583</xdr:rowOff>
    </xdr:from>
    <xdr:to>
      <xdr:col>1</xdr:col>
      <xdr:colOff>948462</xdr:colOff>
      <xdr:row>62</xdr:row>
      <xdr:rowOff>599583</xdr:rowOff>
    </xdr:to>
    <xdr:pic>
      <xdr:nvPicPr>
        <xdr:cNvPr id="1652" name="Picture 1651">
          <a:extLst>
            <a:ext uri="{FF2B5EF4-FFF2-40B4-BE49-F238E27FC236}">
              <a16:creationId xmlns:a16="http://schemas.microsoft.com/office/drawing/2014/main" id="{65EC82FA-1C7C-4838-89F7-E036F510A1C4}"/>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63</xdr:row>
      <xdr:rowOff>23583</xdr:rowOff>
    </xdr:from>
    <xdr:to>
      <xdr:col>1</xdr:col>
      <xdr:colOff>948462</xdr:colOff>
      <xdr:row>63</xdr:row>
      <xdr:rowOff>599583</xdr:rowOff>
    </xdr:to>
    <xdr:pic>
      <xdr:nvPicPr>
        <xdr:cNvPr id="1653" name="Picture 1652">
          <a:extLst>
            <a:ext uri="{FF2B5EF4-FFF2-40B4-BE49-F238E27FC236}">
              <a16:creationId xmlns:a16="http://schemas.microsoft.com/office/drawing/2014/main" id="{73BC09ED-0AFA-411F-90FE-1F0EA678E70F}"/>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64</xdr:row>
      <xdr:rowOff>23583</xdr:rowOff>
    </xdr:from>
    <xdr:to>
      <xdr:col>1</xdr:col>
      <xdr:colOff>948462</xdr:colOff>
      <xdr:row>64</xdr:row>
      <xdr:rowOff>599583</xdr:rowOff>
    </xdr:to>
    <xdr:pic>
      <xdr:nvPicPr>
        <xdr:cNvPr id="1654" name="Picture 1653">
          <a:extLst>
            <a:ext uri="{FF2B5EF4-FFF2-40B4-BE49-F238E27FC236}">
              <a16:creationId xmlns:a16="http://schemas.microsoft.com/office/drawing/2014/main" id="{A11C06D8-B02E-4A44-888A-27E6151DBFD1}"/>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65</xdr:row>
      <xdr:rowOff>23583</xdr:rowOff>
    </xdr:from>
    <xdr:to>
      <xdr:col>1</xdr:col>
      <xdr:colOff>948462</xdr:colOff>
      <xdr:row>65</xdr:row>
      <xdr:rowOff>599583</xdr:rowOff>
    </xdr:to>
    <xdr:pic>
      <xdr:nvPicPr>
        <xdr:cNvPr id="1655" name="Picture 1654">
          <a:extLst>
            <a:ext uri="{FF2B5EF4-FFF2-40B4-BE49-F238E27FC236}">
              <a16:creationId xmlns:a16="http://schemas.microsoft.com/office/drawing/2014/main" id="{BBC685E1-6FDD-4D1D-880A-34757FB84567}"/>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66</xdr:row>
      <xdr:rowOff>23583</xdr:rowOff>
    </xdr:from>
    <xdr:to>
      <xdr:col>1</xdr:col>
      <xdr:colOff>948462</xdr:colOff>
      <xdr:row>66</xdr:row>
      <xdr:rowOff>599583</xdr:rowOff>
    </xdr:to>
    <xdr:pic>
      <xdr:nvPicPr>
        <xdr:cNvPr id="1656" name="Picture 1655">
          <a:extLst>
            <a:ext uri="{FF2B5EF4-FFF2-40B4-BE49-F238E27FC236}">
              <a16:creationId xmlns:a16="http://schemas.microsoft.com/office/drawing/2014/main" id="{183A0F7F-7BE7-4E59-B8E8-038CCE669DF2}"/>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67</xdr:row>
      <xdr:rowOff>23583</xdr:rowOff>
    </xdr:from>
    <xdr:to>
      <xdr:col>1</xdr:col>
      <xdr:colOff>948462</xdr:colOff>
      <xdr:row>67</xdr:row>
      <xdr:rowOff>599583</xdr:rowOff>
    </xdr:to>
    <xdr:pic>
      <xdr:nvPicPr>
        <xdr:cNvPr id="1657" name="Picture 1656">
          <a:extLst>
            <a:ext uri="{FF2B5EF4-FFF2-40B4-BE49-F238E27FC236}">
              <a16:creationId xmlns:a16="http://schemas.microsoft.com/office/drawing/2014/main" id="{25086B4E-F614-4194-BC77-FEB3C9E6159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68</xdr:row>
      <xdr:rowOff>23583</xdr:rowOff>
    </xdr:from>
    <xdr:to>
      <xdr:col>1</xdr:col>
      <xdr:colOff>948462</xdr:colOff>
      <xdr:row>68</xdr:row>
      <xdr:rowOff>599583</xdr:rowOff>
    </xdr:to>
    <xdr:pic>
      <xdr:nvPicPr>
        <xdr:cNvPr id="1658" name="Picture 1657">
          <a:extLst>
            <a:ext uri="{FF2B5EF4-FFF2-40B4-BE49-F238E27FC236}">
              <a16:creationId xmlns:a16="http://schemas.microsoft.com/office/drawing/2014/main" id="{13A76F5C-314C-484B-AE00-56DB277612CE}"/>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69</xdr:row>
      <xdr:rowOff>23583</xdr:rowOff>
    </xdr:from>
    <xdr:to>
      <xdr:col>1</xdr:col>
      <xdr:colOff>948462</xdr:colOff>
      <xdr:row>69</xdr:row>
      <xdr:rowOff>599583</xdr:rowOff>
    </xdr:to>
    <xdr:pic>
      <xdr:nvPicPr>
        <xdr:cNvPr id="1659" name="Picture 1658">
          <a:extLst>
            <a:ext uri="{FF2B5EF4-FFF2-40B4-BE49-F238E27FC236}">
              <a16:creationId xmlns:a16="http://schemas.microsoft.com/office/drawing/2014/main" id="{20481361-3720-4F21-BD05-C3964075488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70</xdr:row>
      <xdr:rowOff>23583</xdr:rowOff>
    </xdr:from>
    <xdr:to>
      <xdr:col>1</xdr:col>
      <xdr:colOff>948462</xdr:colOff>
      <xdr:row>70</xdr:row>
      <xdr:rowOff>599583</xdr:rowOff>
    </xdr:to>
    <xdr:pic>
      <xdr:nvPicPr>
        <xdr:cNvPr id="1660" name="Picture 1659">
          <a:extLst>
            <a:ext uri="{FF2B5EF4-FFF2-40B4-BE49-F238E27FC236}">
              <a16:creationId xmlns:a16="http://schemas.microsoft.com/office/drawing/2014/main" id="{7F266125-DFD9-4C81-88FB-B6945159D44B}"/>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71</xdr:row>
      <xdr:rowOff>23583</xdr:rowOff>
    </xdr:from>
    <xdr:to>
      <xdr:col>1</xdr:col>
      <xdr:colOff>948462</xdr:colOff>
      <xdr:row>71</xdr:row>
      <xdr:rowOff>599583</xdr:rowOff>
    </xdr:to>
    <xdr:pic>
      <xdr:nvPicPr>
        <xdr:cNvPr id="1661" name="Picture 1660">
          <a:extLst>
            <a:ext uri="{FF2B5EF4-FFF2-40B4-BE49-F238E27FC236}">
              <a16:creationId xmlns:a16="http://schemas.microsoft.com/office/drawing/2014/main" id="{6AB0B042-AC59-4F66-A0AC-8BDA4D5C7B1E}"/>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72</xdr:row>
      <xdr:rowOff>23583</xdr:rowOff>
    </xdr:from>
    <xdr:to>
      <xdr:col>1</xdr:col>
      <xdr:colOff>948462</xdr:colOff>
      <xdr:row>72</xdr:row>
      <xdr:rowOff>599583</xdr:rowOff>
    </xdr:to>
    <xdr:pic>
      <xdr:nvPicPr>
        <xdr:cNvPr id="1662" name="Picture 1661">
          <a:extLst>
            <a:ext uri="{FF2B5EF4-FFF2-40B4-BE49-F238E27FC236}">
              <a16:creationId xmlns:a16="http://schemas.microsoft.com/office/drawing/2014/main" id="{85F1B105-AA20-4F3F-95D6-B3D6743DBFF2}"/>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73</xdr:row>
      <xdr:rowOff>23583</xdr:rowOff>
    </xdr:from>
    <xdr:to>
      <xdr:col>1</xdr:col>
      <xdr:colOff>948462</xdr:colOff>
      <xdr:row>73</xdr:row>
      <xdr:rowOff>599583</xdr:rowOff>
    </xdr:to>
    <xdr:pic>
      <xdr:nvPicPr>
        <xdr:cNvPr id="1663" name="Picture 1662">
          <a:extLst>
            <a:ext uri="{FF2B5EF4-FFF2-40B4-BE49-F238E27FC236}">
              <a16:creationId xmlns:a16="http://schemas.microsoft.com/office/drawing/2014/main" id="{A6F4EC7F-78DE-4599-B790-A59B1470E23B}"/>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74</xdr:row>
      <xdr:rowOff>23583</xdr:rowOff>
    </xdr:from>
    <xdr:to>
      <xdr:col>1</xdr:col>
      <xdr:colOff>948462</xdr:colOff>
      <xdr:row>74</xdr:row>
      <xdr:rowOff>599583</xdr:rowOff>
    </xdr:to>
    <xdr:pic>
      <xdr:nvPicPr>
        <xdr:cNvPr id="1664" name="Picture 1663">
          <a:extLst>
            <a:ext uri="{FF2B5EF4-FFF2-40B4-BE49-F238E27FC236}">
              <a16:creationId xmlns:a16="http://schemas.microsoft.com/office/drawing/2014/main" id="{9C97C6B4-C9E4-4EB6-88DE-39924686767B}"/>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75</xdr:row>
      <xdr:rowOff>23583</xdr:rowOff>
    </xdr:from>
    <xdr:to>
      <xdr:col>1</xdr:col>
      <xdr:colOff>948462</xdr:colOff>
      <xdr:row>75</xdr:row>
      <xdr:rowOff>599583</xdr:rowOff>
    </xdr:to>
    <xdr:pic>
      <xdr:nvPicPr>
        <xdr:cNvPr id="1665" name="Picture 1664">
          <a:extLst>
            <a:ext uri="{FF2B5EF4-FFF2-40B4-BE49-F238E27FC236}">
              <a16:creationId xmlns:a16="http://schemas.microsoft.com/office/drawing/2014/main" id="{59DFAE64-19FE-4EDF-B756-9836401ABEA9}"/>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76</xdr:row>
      <xdr:rowOff>23583</xdr:rowOff>
    </xdr:from>
    <xdr:to>
      <xdr:col>1</xdr:col>
      <xdr:colOff>948462</xdr:colOff>
      <xdr:row>76</xdr:row>
      <xdr:rowOff>599583</xdr:rowOff>
    </xdr:to>
    <xdr:pic>
      <xdr:nvPicPr>
        <xdr:cNvPr id="1666" name="Picture 1665">
          <a:extLst>
            <a:ext uri="{FF2B5EF4-FFF2-40B4-BE49-F238E27FC236}">
              <a16:creationId xmlns:a16="http://schemas.microsoft.com/office/drawing/2014/main" id="{A774E138-A288-4E36-B43F-0102002EB11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77</xdr:row>
      <xdr:rowOff>23583</xdr:rowOff>
    </xdr:from>
    <xdr:to>
      <xdr:col>1</xdr:col>
      <xdr:colOff>948462</xdr:colOff>
      <xdr:row>77</xdr:row>
      <xdr:rowOff>599583</xdr:rowOff>
    </xdr:to>
    <xdr:pic>
      <xdr:nvPicPr>
        <xdr:cNvPr id="1667" name="Picture 1666">
          <a:extLst>
            <a:ext uri="{FF2B5EF4-FFF2-40B4-BE49-F238E27FC236}">
              <a16:creationId xmlns:a16="http://schemas.microsoft.com/office/drawing/2014/main" id="{386F8365-DBF8-4EA9-AF64-2A74AC1BC859}"/>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372462</xdr:colOff>
      <xdr:row>78</xdr:row>
      <xdr:rowOff>23583</xdr:rowOff>
    </xdr:from>
    <xdr:to>
      <xdr:col>1</xdr:col>
      <xdr:colOff>948462</xdr:colOff>
      <xdr:row>78</xdr:row>
      <xdr:rowOff>599583</xdr:rowOff>
    </xdr:to>
    <xdr:pic>
      <xdr:nvPicPr>
        <xdr:cNvPr id="1668" name="Picture 1667">
          <a:extLst>
            <a:ext uri="{FF2B5EF4-FFF2-40B4-BE49-F238E27FC236}">
              <a16:creationId xmlns:a16="http://schemas.microsoft.com/office/drawing/2014/main" id="{C0A2433E-9DC7-49F9-BEC7-CF8CACFEF68E}"/>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24888636"/>
          <a:ext cx="576000" cy="576000"/>
        </a:xfrm>
        <a:prstGeom prst="rect">
          <a:avLst/>
        </a:prstGeom>
      </xdr:spPr>
    </xdr:pic>
    <xdr:clientData/>
  </xdr:twoCellAnchor>
  <xdr:twoCellAnchor>
    <xdr:from>
      <xdr:col>1</xdr:col>
      <xdr:colOff>372916</xdr:colOff>
      <xdr:row>80</xdr:row>
      <xdr:rowOff>19050</xdr:rowOff>
    </xdr:from>
    <xdr:to>
      <xdr:col>1</xdr:col>
      <xdr:colOff>948916</xdr:colOff>
      <xdr:row>80</xdr:row>
      <xdr:rowOff>595050</xdr:rowOff>
    </xdr:to>
    <xdr:pic>
      <xdr:nvPicPr>
        <xdr:cNvPr id="1669" name="Picture 1668">
          <a:extLst>
            <a:ext uri="{FF2B5EF4-FFF2-40B4-BE49-F238E27FC236}">
              <a16:creationId xmlns:a16="http://schemas.microsoft.com/office/drawing/2014/main" id="{B6E14131-02F4-4AB0-A38B-1540E3B5EB8B}"/>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81</xdr:row>
      <xdr:rowOff>19050</xdr:rowOff>
    </xdr:from>
    <xdr:to>
      <xdr:col>1</xdr:col>
      <xdr:colOff>948916</xdr:colOff>
      <xdr:row>81</xdr:row>
      <xdr:rowOff>595050</xdr:rowOff>
    </xdr:to>
    <xdr:pic>
      <xdr:nvPicPr>
        <xdr:cNvPr id="1670" name="Picture 1669">
          <a:extLst>
            <a:ext uri="{FF2B5EF4-FFF2-40B4-BE49-F238E27FC236}">
              <a16:creationId xmlns:a16="http://schemas.microsoft.com/office/drawing/2014/main" id="{90A96492-B7B3-40D4-96E5-31A1B09FC4D0}"/>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82</xdr:row>
      <xdr:rowOff>19050</xdr:rowOff>
    </xdr:from>
    <xdr:to>
      <xdr:col>1</xdr:col>
      <xdr:colOff>948916</xdr:colOff>
      <xdr:row>82</xdr:row>
      <xdr:rowOff>595050</xdr:rowOff>
    </xdr:to>
    <xdr:pic>
      <xdr:nvPicPr>
        <xdr:cNvPr id="1671" name="Picture 1670">
          <a:extLst>
            <a:ext uri="{FF2B5EF4-FFF2-40B4-BE49-F238E27FC236}">
              <a16:creationId xmlns:a16="http://schemas.microsoft.com/office/drawing/2014/main" id="{E1CD54B7-1681-4747-9269-0746702FB6CC}"/>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83</xdr:row>
      <xdr:rowOff>19050</xdr:rowOff>
    </xdr:from>
    <xdr:to>
      <xdr:col>1</xdr:col>
      <xdr:colOff>948916</xdr:colOff>
      <xdr:row>83</xdr:row>
      <xdr:rowOff>595050</xdr:rowOff>
    </xdr:to>
    <xdr:pic>
      <xdr:nvPicPr>
        <xdr:cNvPr id="1672" name="Picture 1671">
          <a:extLst>
            <a:ext uri="{FF2B5EF4-FFF2-40B4-BE49-F238E27FC236}">
              <a16:creationId xmlns:a16="http://schemas.microsoft.com/office/drawing/2014/main" id="{367FC3F4-AA19-4DB4-ADF1-8A2154DAFCE7}"/>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84</xdr:row>
      <xdr:rowOff>19050</xdr:rowOff>
    </xdr:from>
    <xdr:to>
      <xdr:col>1</xdr:col>
      <xdr:colOff>948916</xdr:colOff>
      <xdr:row>84</xdr:row>
      <xdr:rowOff>595050</xdr:rowOff>
    </xdr:to>
    <xdr:pic>
      <xdr:nvPicPr>
        <xdr:cNvPr id="1673" name="Picture 1672">
          <a:extLst>
            <a:ext uri="{FF2B5EF4-FFF2-40B4-BE49-F238E27FC236}">
              <a16:creationId xmlns:a16="http://schemas.microsoft.com/office/drawing/2014/main" id="{A8387FAF-C860-4E02-8542-B8D9171E38CC}"/>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85</xdr:row>
      <xdr:rowOff>19050</xdr:rowOff>
    </xdr:from>
    <xdr:to>
      <xdr:col>1</xdr:col>
      <xdr:colOff>948916</xdr:colOff>
      <xdr:row>85</xdr:row>
      <xdr:rowOff>595050</xdr:rowOff>
    </xdr:to>
    <xdr:pic>
      <xdr:nvPicPr>
        <xdr:cNvPr id="1674" name="Picture 1673">
          <a:extLst>
            <a:ext uri="{FF2B5EF4-FFF2-40B4-BE49-F238E27FC236}">
              <a16:creationId xmlns:a16="http://schemas.microsoft.com/office/drawing/2014/main" id="{FA157066-0CCE-4C69-80EC-2F18E3C55C63}"/>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86</xdr:row>
      <xdr:rowOff>19050</xdr:rowOff>
    </xdr:from>
    <xdr:to>
      <xdr:col>1</xdr:col>
      <xdr:colOff>948916</xdr:colOff>
      <xdr:row>86</xdr:row>
      <xdr:rowOff>595050</xdr:rowOff>
    </xdr:to>
    <xdr:pic>
      <xdr:nvPicPr>
        <xdr:cNvPr id="1675" name="Picture 1674">
          <a:extLst>
            <a:ext uri="{FF2B5EF4-FFF2-40B4-BE49-F238E27FC236}">
              <a16:creationId xmlns:a16="http://schemas.microsoft.com/office/drawing/2014/main" id="{CB47B089-D585-41DC-821E-F9A955C84CAE}"/>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87</xdr:row>
      <xdr:rowOff>19050</xdr:rowOff>
    </xdr:from>
    <xdr:to>
      <xdr:col>1</xdr:col>
      <xdr:colOff>948916</xdr:colOff>
      <xdr:row>87</xdr:row>
      <xdr:rowOff>595050</xdr:rowOff>
    </xdr:to>
    <xdr:pic>
      <xdr:nvPicPr>
        <xdr:cNvPr id="1676" name="Picture 1675">
          <a:extLst>
            <a:ext uri="{FF2B5EF4-FFF2-40B4-BE49-F238E27FC236}">
              <a16:creationId xmlns:a16="http://schemas.microsoft.com/office/drawing/2014/main" id="{30EDAD84-0C4C-4860-916B-153DEF3A79B9}"/>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88</xdr:row>
      <xdr:rowOff>19050</xdr:rowOff>
    </xdr:from>
    <xdr:to>
      <xdr:col>1</xdr:col>
      <xdr:colOff>948916</xdr:colOff>
      <xdr:row>88</xdr:row>
      <xdr:rowOff>595050</xdr:rowOff>
    </xdr:to>
    <xdr:pic>
      <xdr:nvPicPr>
        <xdr:cNvPr id="1677" name="Picture 1676">
          <a:extLst>
            <a:ext uri="{FF2B5EF4-FFF2-40B4-BE49-F238E27FC236}">
              <a16:creationId xmlns:a16="http://schemas.microsoft.com/office/drawing/2014/main" id="{DBF54103-0664-43D2-B988-90D77A3FF5F2}"/>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89</xdr:row>
      <xdr:rowOff>19050</xdr:rowOff>
    </xdr:from>
    <xdr:to>
      <xdr:col>1</xdr:col>
      <xdr:colOff>948916</xdr:colOff>
      <xdr:row>89</xdr:row>
      <xdr:rowOff>595050</xdr:rowOff>
    </xdr:to>
    <xdr:pic>
      <xdr:nvPicPr>
        <xdr:cNvPr id="1678" name="Picture 1677">
          <a:extLst>
            <a:ext uri="{FF2B5EF4-FFF2-40B4-BE49-F238E27FC236}">
              <a16:creationId xmlns:a16="http://schemas.microsoft.com/office/drawing/2014/main" id="{6F405C3E-8CE1-401B-8175-955B75C0537B}"/>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90</xdr:row>
      <xdr:rowOff>19050</xdr:rowOff>
    </xdr:from>
    <xdr:to>
      <xdr:col>1</xdr:col>
      <xdr:colOff>948916</xdr:colOff>
      <xdr:row>90</xdr:row>
      <xdr:rowOff>595050</xdr:rowOff>
    </xdr:to>
    <xdr:pic>
      <xdr:nvPicPr>
        <xdr:cNvPr id="1679" name="Picture 1678">
          <a:extLst>
            <a:ext uri="{FF2B5EF4-FFF2-40B4-BE49-F238E27FC236}">
              <a16:creationId xmlns:a16="http://schemas.microsoft.com/office/drawing/2014/main" id="{CB320DC6-F52A-4CE3-A1B3-A3EAC5D04FE4}"/>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91</xdr:row>
      <xdr:rowOff>19050</xdr:rowOff>
    </xdr:from>
    <xdr:to>
      <xdr:col>1</xdr:col>
      <xdr:colOff>948916</xdr:colOff>
      <xdr:row>91</xdr:row>
      <xdr:rowOff>595050</xdr:rowOff>
    </xdr:to>
    <xdr:pic>
      <xdr:nvPicPr>
        <xdr:cNvPr id="1680" name="Picture 1679">
          <a:extLst>
            <a:ext uri="{FF2B5EF4-FFF2-40B4-BE49-F238E27FC236}">
              <a16:creationId xmlns:a16="http://schemas.microsoft.com/office/drawing/2014/main" id="{272C9255-2BEE-4B5E-8A98-9C13E42D54B7}"/>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92</xdr:row>
      <xdr:rowOff>19050</xdr:rowOff>
    </xdr:from>
    <xdr:to>
      <xdr:col>1</xdr:col>
      <xdr:colOff>948916</xdr:colOff>
      <xdr:row>92</xdr:row>
      <xdr:rowOff>595050</xdr:rowOff>
    </xdr:to>
    <xdr:pic>
      <xdr:nvPicPr>
        <xdr:cNvPr id="1681" name="Picture 1680">
          <a:extLst>
            <a:ext uri="{FF2B5EF4-FFF2-40B4-BE49-F238E27FC236}">
              <a16:creationId xmlns:a16="http://schemas.microsoft.com/office/drawing/2014/main" id="{5671B9C8-7A62-4F07-8FCD-6140E2010D11}"/>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93</xdr:row>
      <xdr:rowOff>19050</xdr:rowOff>
    </xdr:from>
    <xdr:to>
      <xdr:col>1</xdr:col>
      <xdr:colOff>948916</xdr:colOff>
      <xdr:row>93</xdr:row>
      <xdr:rowOff>595050</xdr:rowOff>
    </xdr:to>
    <xdr:pic>
      <xdr:nvPicPr>
        <xdr:cNvPr id="1682" name="Picture 1681">
          <a:extLst>
            <a:ext uri="{FF2B5EF4-FFF2-40B4-BE49-F238E27FC236}">
              <a16:creationId xmlns:a16="http://schemas.microsoft.com/office/drawing/2014/main" id="{7087CDE2-AAA5-4F46-87BE-55DC68EB4F03}"/>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94</xdr:row>
      <xdr:rowOff>19050</xdr:rowOff>
    </xdr:from>
    <xdr:to>
      <xdr:col>1</xdr:col>
      <xdr:colOff>948916</xdr:colOff>
      <xdr:row>94</xdr:row>
      <xdr:rowOff>595050</xdr:rowOff>
    </xdr:to>
    <xdr:pic>
      <xdr:nvPicPr>
        <xdr:cNvPr id="1683" name="Picture 1682">
          <a:extLst>
            <a:ext uri="{FF2B5EF4-FFF2-40B4-BE49-F238E27FC236}">
              <a16:creationId xmlns:a16="http://schemas.microsoft.com/office/drawing/2014/main" id="{44CA1613-C0DF-46AA-9B8A-6D758F5193FD}"/>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95</xdr:row>
      <xdr:rowOff>19050</xdr:rowOff>
    </xdr:from>
    <xdr:to>
      <xdr:col>1</xdr:col>
      <xdr:colOff>948916</xdr:colOff>
      <xdr:row>95</xdr:row>
      <xdr:rowOff>595050</xdr:rowOff>
    </xdr:to>
    <xdr:pic>
      <xdr:nvPicPr>
        <xdr:cNvPr id="1684" name="Picture 1683">
          <a:extLst>
            <a:ext uri="{FF2B5EF4-FFF2-40B4-BE49-F238E27FC236}">
              <a16:creationId xmlns:a16="http://schemas.microsoft.com/office/drawing/2014/main" id="{8BD19342-4D65-4CEA-8C9D-CBFEC9981B5E}"/>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96</xdr:row>
      <xdr:rowOff>19050</xdr:rowOff>
    </xdr:from>
    <xdr:to>
      <xdr:col>1</xdr:col>
      <xdr:colOff>948916</xdr:colOff>
      <xdr:row>96</xdr:row>
      <xdr:rowOff>595050</xdr:rowOff>
    </xdr:to>
    <xdr:pic>
      <xdr:nvPicPr>
        <xdr:cNvPr id="1685" name="Picture 1684">
          <a:extLst>
            <a:ext uri="{FF2B5EF4-FFF2-40B4-BE49-F238E27FC236}">
              <a16:creationId xmlns:a16="http://schemas.microsoft.com/office/drawing/2014/main" id="{C6A0403C-61AA-4EE4-830D-814C6D5E6CD7}"/>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97</xdr:row>
      <xdr:rowOff>19050</xdr:rowOff>
    </xdr:from>
    <xdr:to>
      <xdr:col>1</xdr:col>
      <xdr:colOff>948916</xdr:colOff>
      <xdr:row>97</xdr:row>
      <xdr:rowOff>595050</xdr:rowOff>
    </xdr:to>
    <xdr:pic>
      <xdr:nvPicPr>
        <xdr:cNvPr id="1686" name="Picture 1685">
          <a:extLst>
            <a:ext uri="{FF2B5EF4-FFF2-40B4-BE49-F238E27FC236}">
              <a16:creationId xmlns:a16="http://schemas.microsoft.com/office/drawing/2014/main" id="{5879EB02-D1E0-4EEC-9953-1EC36BAF811C}"/>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98</xdr:row>
      <xdr:rowOff>19050</xdr:rowOff>
    </xdr:from>
    <xdr:to>
      <xdr:col>1</xdr:col>
      <xdr:colOff>948916</xdr:colOff>
      <xdr:row>98</xdr:row>
      <xdr:rowOff>595050</xdr:rowOff>
    </xdr:to>
    <xdr:pic>
      <xdr:nvPicPr>
        <xdr:cNvPr id="1687" name="Picture 1686">
          <a:extLst>
            <a:ext uri="{FF2B5EF4-FFF2-40B4-BE49-F238E27FC236}">
              <a16:creationId xmlns:a16="http://schemas.microsoft.com/office/drawing/2014/main" id="{3BDC70FD-9556-4523-B99D-0103EEC54484}"/>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372916</xdr:colOff>
      <xdr:row>99</xdr:row>
      <xdr:rowOff>19050</xdr:rowOff>
    </xdr:from>
    <xdr:to>
      <xdr:col>1</xdr:col>
      <xdr:colOff>948916</xdr:colOff>
      <xdr:row>99</xdr:row>
      <xdr:rowOff>595050</xdr:rowOff>
    </xdr:to>
    <xdr:pic>
      <xdr:nvPicPr>
        <xdr:cNvPr id="1688" name="Picture 1687">
          <a:extLst>
            <a:ext uri="{FF2B5EF4-FFF2-40B4-BE49-F238E27FC236}">
              <a16:creationId xmlns:a16="http://schemas.microsoft.com/office/drawing/2014/main" id="{B6B74BC5-95C5-45D7-A4F0-8CEAA40978B6}"/>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1</xdr:col>
      <xdr:colOff>365123</xdr:colOff>
      <xdr:row>101</xdr:row>
      <xdr:rowOff>18141</xdr:rowOff>
    </xdr:from>
    <xdr:to>
      <xdr:col>1</xdr:col>
      <xdr:colOff>941123</xdr:colOff>
      <xdr:row>101</xdr:row>
      <xdr:rowOff>594141</xdr:rowOff>
    </xdr:to>
    <xdr:pic>
      <xdr:nvPicPr>
        <xdr:cNvPr id="1689" name="Picture 1688" descr="face shield">
          <a:extLst>
            <a:ext uri="{FF2B5EF4-FFF2-40B4-BE49-F238E27FC236}">
              <a16:creationId xmlns:a16="http://schemas.microsoft.com/office/drawing/2014/main" id="{93BFEA44-B8D2-484E-A483-7F280F3AA0C7}"/>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102</xdr:row>
      <xdr:rowOff>18141</xdr:rowOff>
    </xdr:from>
    <xdr:to>
      <xdr:col>1</xdr:col>
      <xdr:colOff>941123</xdr:colOff>
      <xdr:row>102</xdr:row>
      <xdr:rowOff>594141</xdr:rowOff>
    </xdr:to>
    <xdr:pic>
      <xdr:nvPicPr>
        <xdr:cNvPr id="1690" name="Picture 1689" descr="face shield">
          <a:extLst>
            <a:ext uri="{FF2B5EF4-FFF2-40B4-BE49-F238E27FC236}">
              <a16:creationId xmlns:a16="http://schemas.microsoft.com/office/drawing/2014/main" id="{54A1AB97-79C8-4D8B-91FC-E682D9100C5A}"/>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103</xdr:row>
      <xdr:rowOff>18141</xdr:rowOff>
    </xdr:from>
    <xdr:to>
      <xdr:col>1</xdr:col>
      <xdr:colOff>941123</xdr:colOff>
      <xdr:row>103</xdr:row>
      <xdr:rowOff>594141</xdr:rowOff>
    </xdr:to>
    <xdr:pic>
      <xdr:nvPicPr>
        <xdr:cNvPr id="1691" name="Picture 1690" descr="face shield">
          <a:extLst>
            <a:ext uri="{FF2B5EF4-FFF2-40B4-BE49-F238E27FC236}">
              <a16:creationId xmlns:a16="http://schemas.microsoft.com/office/drawing/2014/main" id="{D856F101-CA4C-4C26-92CA-2EF7F2D6AD88}"/>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104</xdr:row>
      <xdr:rowOff>18141</xdr:rowOff>
    </xdr:from>
    <xdr:to>
      <xdr:col>1</xdr:col>
      <xdr:colOff>941123</xdr:colOff>
      <xdr:row>104</xdr:row>
      <xdr:rowOff>594141</xdr:rowOff>
    </xdr:to>
    <xdr:pic>
      <xdr:nvPicPr>
        <xdr:cNvPr id="1692" name="Picture 1691" descr="face shield">
          <a:extLst>
            <a:ext uri="{FF2B5EF4-FFF2-40B4-BE49-F238E27FC236}">
              <a16:creationId xmlns:a16="http://schemas.microsoft.com/office/drawing/2014/main" id="{87980594-E4CF-487B-99E2-E94AFCDB6628}"/>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105</xdr:row>
      <xdr:rowOff>18141</xdr:rowOff>
    </xdr:from>
    <xdr:to>
      <xdr:col>1</xdr:col>
      <xdr:colOff>941123</xdr:colOff>
      <xdr:row>105</xdr:row>
      <xdr:rowOff>594141</xdr:rowOff>
    </xdr:to>
    <xdr:pic>
      <xdr:nvPicPr>
        <xdr:cNvPr id="1693" name="Picture 1692" descr="face shield">
          <a:extLst>
            <a:ext uri="{FF2B5EF4-FFF2-40B4-BE49-F238E27FC236}">
              <a16:creationId xmlns:a16="http://schemas.microsoft.com/office/drawing/2014/main" id="{2DBDDDC4-7CD2-45CB-B324-6B3EF2CCFF16}"/>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106</xdr:row>
      <xdr:rowOff>18141</xdr:rowOff>
    </xdr:from>
    <xdr:to>
      <xdr:col>1</xdr:col>
      <xdr:colOff>941123</xdr:colOff>
      <xdr:row>106</xdr:row>
      <xdr:rowOff>594141</xdr:rowOff>
    </xdr:to>
    <xdr:pic>
      <xdr:nvPicPr>
        <xdr:cNvPr id="1694" name="Picture 1693" descr="face shield">
          <a:extLst>
            <a:ext uri="{FF2B5EF4-FFF2-40B4-BE49-F238E27FC236}">
              <a16:creationId xmlns:a16="http://schemas.microsoft.com/office/drawing/2014/main" id="{1E0D818E-28B2-4ED8-B068-0857A3D6F5BE}"/>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107</xdr:row>
      <xdr:rowOff>18141</xdr:rowOff>
    </xdr:from>
    <xdr:to>
      <xdr:col>1</xdr:col>
      <xdr:colOff>941123</xdr:colOff>
      <xdr:row>107</xdr:row>
      <xdr:rowOff>594141</xdr:rowOff>
    </xdr:to>
    <xdr:pic>
      <xdr:nvPicPr>
        <xdr:cNvPr id="1695" name="Picture 1694" descr="face shield">
          <a:extLst>
            <a:ext uri="{FF2B5EF4-FFF2-40B4-BE49-F238E27FC236}">
              <a16:creationId xmlns:a16="http://schemas.microsoft.com/office/drawing/2014/main" id="{03B43DED-8C03-4341-AD15-388EDCCB57B2}"/>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108</xdr:row>
      <xdr:rowOff>18141</xdr:rowOff>
    </xdr:from>
    <xdr:to>
      <xdr:col>1</xdr:col>
      <xdr:colOff>941123</xdr:colOff>
      <xdr:row>108</xdr:row>
      <xdr:rowOff>594141</xdr:rowOff>
    </xdr:to>
    <xdr:pic>
      <xdr:nvPicPr>
        <xdr:cNvPr id="1696" name="Picture 1695" descr="face shield">
          <a:extLst>
            <a:ext uri="{FF2B5EF4-FFF2-40B4-BE49-F238E27FC236}">
              <a16:creationId xmlns:a16="http://schemas.microsoft.com/office/drawing/2014/main" id="{39318CF4-4714-40BF-BC43-EA1C550FDB46}"/>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109</xdr:row>
      <xdr:rowOff>18141</xdr:rowOff>
    </xdr:from>
    <xdr:to>
      <xdr:col>1</xdr:col>
      <xdr:colOff>941123</xdr:colOff>
      <xdr:row>109</xdr:row>
      <xdr:rowOff>594141</xdr:rowOff>
    </xdr:to>
    <xdr:pic>
      <xdr:nvPicPr>
        <xdr:cNvPr id="1697" name="Picture 1696" descr="face shield">
          <a:extLst>
            <a:ext uri="{FF2B5EF4-FFF2-40B4-BE49-F238E27FC236}">
              <a16:creationId xmlns:a16="http://schemas.microsoft.com/office/drawing/2014/main" id="{433178C1-A0A6-47E7-959E-6795FF1FCED8}"/>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110</xdr:row>
      <xdr:rowOff>18141</xdr:rowOff>
    </xdr:from>
    <xdr:to>
      <xdr:col>1</xdr:col>
      <xdr:colOff>941123</xdr:colOff>
      <xdr:row>110</xdr:row>
      <xdr:rowOff>594141</xdr:rowOff>
    </xdr:to>
    <xdr:pic>
      <xdr:nvPicPr>
        <xdr:cNvPr id="1698" name="Picture 1697" descr="face shield">
          <a:extLst>
            <a:ext uri="{FF2B5EF4-FFF2-40B4-BE49-F238E27FC236}">
              <a16:creationId xmlns:a16="http://schemas.microsoft.com/office/drawing/2014/main" id="{88A37F3D-4720-4395-A221-E9CD4AF31007}"/>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111</xdr:row>
      <xdr:rowOff>18141</xdr:rowOff>
    </xdr:from>
    <xdr:to>
      <xdr:col>1</xdr:col>
      <xdr:colOff>941123</xdr:colOff>
      <xdr:row>111</xdr:row>
      <xdr:rowOff>594141</xdr:rowOff>
    </xdr:to>
    <xdr:pic>
      <xdr:nvPicPr>
        <xdr:cNvPr id="1699" name="Picture 1698" descr="face shield">
          <a:extLst>
            <a:ext uri="{FF2B5EF4-FFF2-40B4-BE49-F238E27FC236}">
              <a16:creationId xmlns:a16="http://schemas.microsoft.com/office/drawing/2014/main" id="{EA5D3FD9-5D86-4177-943F-87FB41B78E5F}"/>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112</xdr:row>
      <xdr:rowOff>18141</xdr:rowOff>
    </xdr:from>
    <xdr:to>
      <xdr:col>1</xdr:col>
      <xdr:colOff>941123</xdr:colOff>
      <xdr:row>112</xdr:row>
      <xdr:rowOff>594141</xdr:rowOff>
    </xdr:to>
    <xdr:pic>
      <xdr:nvPicPr>
        <xdr:cNvPr id="1700" name="Picture 1699" descr="face shield">
          <a:extLst>
            <a:ext uri="{FF2B5EF4-FFF2-40B4-BE49-F238E27FC236}">
              <a16:creationId xmlns:a16="http://schemas.microsoft.com/office/drawing/2014/main" id="{1325FC24-499C-4156-A365-F11CD6E03A3D}"/>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113</xdr:row>
      <xdr:rowOff>18141</xdr:rowOff>
    </xdr:from>
    <xdr:to>
      <xdr:col>1</xdr:col>
      <xdr:colOff>941123</xdr:colOff>
      <xdr:row>113</xdr:row>
      <xdr:rowOff>594141</xdr:rowOff>
    </xdr:to>
    <xdr:pic>
      <xdr:nvPicPr>
        <xdr:cNvPr id="1701" name="Picture 1700" descr="face shield">
          <a:extLst>
            <a:ext uri="{FF2B5EF4-FFF2-40B4-BE49-F238E27FC236}">
              <a16:creationId xmlns:a16="http://schemas.microsoft.com/office/drawing/2014/main" id="{EFC055AC-AAB1-4D67-8C86-BA1DCF573833}"/>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114</xdr:row>
      <xdr:rowOff>18141</xdr:rowOff>
    </xdr:from>
    <xdr:to>
      <xdr:col>1</xdr:col>
      <xdr:colOff>941123</xdr:colOff>
      <xdr:row>114</xdr:row>
      <xdr:rowOff>594141</xdr:rowOff>
    </xdr:to>
    <xdr:pic>
      <xdr:nvPicPr>
        <xdr:cNvPr id="1702" name="Picture 1701" descr="face shield">
          <a:extLst>
            <a:ext uri="{FF2B5EF4-FFF2-40B4-BE49-F238E27FC236}">
              <a16:creationId xmlns:a16="http://schemas.microsoft.com/office/drawing/2014/main" id="{A9279BCE-4A10-49CA-8A79-4CC6E65D8C9A}"/>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115</xdr:row>
      <xdr:rowOff>18141</xdr:rowOff>
    </xdr:from>
    <xdr:to>
      <xdr:col>1</xdr:col>
      <xdr:colOff>941123</xdr:colOff>
      <xdr:row>115</xdr:row>
      <xdr:rowOff>594141</xdr:rowOff>
    </xdr:to>
    <xdr:pic>
      <xdr:nvPicPr>
        <xdr:cNvPr id="1703" name="Picture 1702" descr="face shield">
          <a:extLst>
            <a:ext uri="{FF2B5EF4-FFF2-40B4-BE49-F238E27FC236}">
              <a16:creationId xmlns:a16="http://schemas.microsoft.com/office/drawing/2014/main" id="{1960B908-D411-4018-81FD-F0552A61ED16}"/>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116</xdr:row>
      <xdr:rowOff>18141</xdr:rowOff>
    </xdr:from>
    <xdr:to>
      <xdr:col>1</xdr:col>
      <xdr:colOff>941123</xdr:colOff>
      <xdr:row>116</xdr:row>
      <xdr:rowOff>594141</xdr:rowOff>
    </xdr:to>
    <xdr:pic>
      <xdr:nvPicPr>
        <xdr:cNvPr id="1704" name="Picture 1703" descr="face shield">
          <a:extLst>
            <a:ext uri="{FF2B5EF4-FFF2-40B4-BE49-F238E27FC236}">
              <a16:creationId xmlns:a16="http://schemas.microsoft.com/office/drawing/2014/main" id="{EEEEC3A2-D63A-4A23-A06E-7FF0C09A5FD9}"/>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117</xdr:row>
      <xdr:rowOff>18141</xdr:rowOff>
    </xdr:from>
    <xdr:to>
      <xdr:col>1</xdr:col>
      <xdr:colOff>941123</xdr:colOff>
      <xdr:row>117</xdr:row>
      <xdr:rowOff>594141</xdr:rowOff>
    </xdr:to>
    <xdr:pic>
      <xdr:nvPicPr>
        <xdr:cNvPr id="1705" name="Picture 1704" descr="face shield">
          <a:extLst>
            <a:ext uri="{FF2B5EF4-FFF2-40B4-BE49-F238E27FC236}">
              <a16:creationId xmlns:a16="http://schemas.microsoft.com/office/drawing/2014/main" id="{DF6548AE-80D1-477C-AA2C-6C03A2E8A735}"/>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118</xdr:row>
      <xdr:rowOff>18141</xdr:rowOff>
    </xdr:from>
    <xdr:to>
      <xdr:col>1</xdr:col>
      <xdr:colOff>941123</xdr:colOff>
      <xdr:row>118</xdr:row>
      <xdr:rowOff>594141</xdr:rowOff>
    </xdr:to>
    <xdr:pic>
      <xdr:nvPicPr>
        <xdr:cNvPr id="1706" name="Picture 1705" descr="face shield">
          <a:extLst>
            <a:ext uri="{FF2B5EF4-FFF2-40B4-BE49-F238E27FC236}">
              <a16:creationId xmlns:a16="http://schemas.microsoft.com/office/drawing/2014/main" id="{8EA99B24-70FF-4CE3-A6A1-7C69094A7F00}"/>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119</xdr:row>
      <xdr:rowOff>18141</xdr:rowOff>
    </xdr:from>
    <xdr:to>
      <xdr:col>1</xdr:col>
      <xdr:colOff>941123</xdr:colOff>
      <xdr:row>119</xdr:row>
      <xdr:rowOff>594141</xdr:rowOff>
    </xdr:to>
    <xdr:pic>
      <xdr:nvPicPr>
        <xdr:cNvPr id="1707" name="Picture 1706" descr="face shield">
          <a:extLst>
            <a:ext uri="{FF2B5EF4-FFF2-40B4-BE49-F238E27FC236}">
              <a16:creationId xmlns:a16="http://schemas.microsoft.com/office/drawing/2014/main" id="{CAA76745-083A-4425-B409-15FEA653078F}"/>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365123</xdr:colOff>
      <xdr:row>120</xdr:row>
      <xdr:rowOff>18141</xdr:rowOff>
    </xdr:from>
    <xdr:to>
      <xdr:col>1</xdr:col>
      <xdr:colOff>941123</xdr:colOff>
      <xdr:row>120</xdr:row>
      <xdr:rowOff>594141</xdr:rowOff>
    </xdr:to>
    <xdr:pic>
      <xdr:nvPicPr>
        <xdr:cNvPr id="1708" name="Picture 1707" descr="face shield">
          <a:extLst>
            <a:ext uri="{FF2B5EF4-FFF2-40B4-BE49-F238E27FC236}">
              <a16:creationId xmlns:a16="http://schemas.microsoft.com/office/drawing/2014/main" id="{E5B276AE-BF2B-4713-9EA3-C186D119B0C7}"/>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50432605"/>
          <a:ext cx="576000" cy="576000"/>
        </a:xfrm>
        <a:prstGeom prst="rect">
          <a:avLst/>
        </a:prstGeom>
        <a:noFill/>
        <a:ln>
          <a:noFill/>
        </a:ln>
      </xdr:spPr>
    </xdr:pic>
    <xdr:clientData/>
  </xdr:twoCellAnchor>
  <xdr:twoCellAnchor>
    <xdr:from>
      <xdr:col>1</xdr:col>
      <xdr:colOff>349249</xdr:colOff>
      <xdr:row>122</xdr:row>
      <xdr:rowOff>17234</xdr:rowOff>
    </xdr:from>
    <xdr:to>
      <xdr:col>1</xdr:col>
      <xdr:colOff>925249</xdr:colOff>
      <xdr:row>122</xdr:row>
      <xdr:rowOff>593234</xdr:rowOff>
    </xdr:to>
    <xdr:pic>
      <xdr:nvPicPr>
        <xdr:cNvPr id="1709" name="Picture 1708">
          <a:extLst>
            <a:ext uri="{FF2B5EF4-FFF2-40B4-BE49-F238E27FC236}">
              <a16:creationId xmlns:a16="http://schemas.microsoft.com/office/drawing/2014/main" id="{AD96D2A0-E025-4390-88F1-A9E1D23AD01E}"/>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123</xdr:row>
      <xdr:rowOff>17234</xdr:rowOff>
    </xdr:from>
    <xdr:to>
      <xdr:col>1</xdr:col>
      <xdr:colOff>925249</xdr:colOff>
      <xdr:row>123</xdr:row>
      <xdr:rowOff>593234</xdr:rowOff>
    </xdr:to>
    <xdr:pic>
      <xdr:nvPicPr>
        <xdr:cNvPr id="1710" name="Picture 1709">
          <a:extLst>
            <a:ext uri="{FF2B5EF4-FFF2-40B4-BE49-F238E27FC236}">
              <a16:creationId xmlns:a16="http://schemas.microsoft.com/office/drawing/2014/main" id="{14ADB16A-EB11-425A-94B4-CA4C66A1AD85}"/>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124</xdr:row>
      <xdr:rowOff>17234</xdr:rowOff>
    </xdr:from>
    <xdr:to>
      <xdr:col>1</xdr:col>
      <xdr:colOff>925249</xdr:colOff>
      <xdr:row>124</xdr:row>
      <xdr:rowOff>593234</xdr:rowOff>
    </xdr:to>
    <xdr:pic>
      <xdr:nvPicPr>
        <xdr:cNvPr id="1711" name="Picture 1710">
          <a:extLst>
            <a:ext uri="{FF2B5EF4-FFF2-40B4-BE49-F238E27FC236}">
              <a16:creationId xmlns:a16="http://schemas.microsoft.com/office/drawing/2014/main" id="{954D22F6-9589-4A76-9188-D5F282E64CA7}"/>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125</xdr:row>
      <xdr:rowOff>17234</xdr:rowOff>
    </xdr:from>
    <xdr:to>
      <xdr:col>1</xdr:col>
      <xdr:colOff>925249</xdr:colOff>
      <xdr:row>125</xdr:row>
      <xdr:rowOff>593234</xdr:rowOff>
    </xdr:to>
    <xdr:pic>
      <xdr:nvPicPr>
        <xdr:cNvPr id="1712" name="Picture 1711">
          <a:extLst>
            <a:ext uri="{FF2B5EF4-FFF2-40B4-BE49-F238E27FC236}">
              <a16:creationId xmlns:a16="http://schemas.microsoft.com/office/drawing/2014/main" id="{7ED98D26-0312-4F24-9AAA-4C1670B2E0A8}"/>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126</xdr:row>
      <xdr:rowOff>17234</xdr:rowOff>
    </xdr:from>
    <xdr:to>
      <xdr:col>1</xdr:col>
      <xdr:colOff>925249</xdr:colOff>
      <xdr:row>126</xdr:row>
      <xdr:rowOff>593234</xdr:rowOff>
    </xdr:to>
    <xdr:pic>
      <xdr:nvPicPr>
        <xdr:cNvPr id="1713" name="Picture 1712">
          <a:extLst>
            <a:ext uri="{FF2B5EF4-FFF2-40B4-BE49-F238E27FC236}">
              <a16:creationId xmlns:a16="http://schemas.microsoft.com/office/drawing/2014/main" id="{393B7C29-011C-42B4-87AC-8FCF15A18281}"/>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127</xdr:row>
      <xdr:rowOff>17234</xdr:rowOff>
    </xdr:from>
    <xdr:to>
      <xdr:col>1</xdr:col>
      <xdr:colOff>925249</xdr:colOff>
      <xdr:row>127</xdr:row>
      <xdr:rowOff>593234</xdr:rowOff>
    </xdr:to>
    <xdr:pic>
      <xdr:nvPicPr>
        <xdr:cNvPr id="1714" name="Picture 1713">
          <a:extLst>
            <a:ext uri="{FF2B5EF4-FFF2-40B4-BE49-F238E27FC236}">
              <a16:creationId xmlns:a16="http://schemas.microsoft.com/office/drawing/2014/main" id="{C5025BB6-54CB-4360-94CD-712D16A44A26}"/>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128</xdr:row>
      <xdr:rowOff>17234</xdr:rowOff>
    </xdr:from>
    <xdr:to>
      <xdr:col>1</xdr:col>
      <xdr:colOff>925249</xdr:colOff>
      <xdr:row>128</xdr:row>
      <xdr:rowOff>593234</xdr:rowOff>
    </xdr:to>
    <xdr:pic>
      <xdr:nvPicPr>
        <xdr:cNvPr id="1715" name="Picture 1714">
          <a:extLst>
            <a:ext uri="{FF2B5EF4-FFF2-40B4-BE49-F238E27FC236}">
              <a16:creationId xmlns:a16="http://schemas.microsoft.com/office/drawing/2014/main" id="{0BD9EC2A-D82E-416A-BCA3-965F240F203E}"/>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129</xdr:row>
      <xdr:rowOff>17234</xdr:rowOff>
    </xdr:from>
    <xdr:to>
      <xdr:col>1</xdr:col>
      <xdr:colOff>925249</xdr:colOff>
      <xdr:row>129</xdr:row>
      <xdr:rowOff>593234</xdr:rowOff>
    </xdr:to>
    <xdr:pic>
      <xdr:nvPicPr>
        <xdr:cNvPr id="1716" name="Picture 1715">
          <a:extLst>
            <a:ext uri="{FF2B5EF4-FFF2-40B4-BE49-F238E27FC236}">
              <a16:creationId xmlns:a16="http://schemas.microsoft.com/office/drawing/2014/main" id="{00D77A0B-E95E-4123-96F1-AF3EE3BB9D9A}"/>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130</xdr:row>
      <xdr:rowOff>17234</xdr:rowOff>
    </xdr:from>
    <xdr:to>
      <xdr:col>1</xdr:col>
      <xdr:colOff>925249</xdr:colOff>
      <xdr:row>130</xdr:row>
      <xdr:rowOff>593234</xdr:rowOff>
    </xdr:to>
    <xdr:pic>
      <xdr:nvPicPr>
        <xdr:cNvPr id="1717" name="Picture 1716">
          <a:extLst>
            <a:ext uri="{FF2B5EF4-FFF2-40B4-BE49-F238E27FC236}">
              <a16:creationId xmlns:a16="http://schemas.microsoft.com/office/drawing/2014/main" id="{136809B9-A275-48E1-B49F-B06FC2A07C13}"/>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131</xdr:row>
      <xdr:rowOff>17234</xdr:rowOff>
    </xdr:from>
    <xdr:to>
      <xdr:col>1</xdr:col>
      <xdr:colOff>925249</xdr:colOff>
      <xdr:row>131</xdr:row>
      <xdr:rowOff>593234</xdr:rowOff>
    </xdr:to>
    <xdr:pic>
      <xdr:nvPicPr>
        <xdr:cNvPr id="1718" name="Picture 1717">
          <a:extLst>
            <a:ext uri="{FF2B5EF4-FFF2-40B4-BE49-F238E27FC236}">
              <a16:creationId xmlns:a16="http://schemas.microsoft.com/office/drawing/2014/main" id="{AB20C6CC-0DAA-48A6-B7F2-24E1E2900306}"/>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132</xdr:row>
      <xdr:rowOff>17234</xdr:rowOff>
    </xdr:from>
    <xdr:to>
      <xdr:col>1</xdr:col>
      <xdr:colOff>925249</xdr:colOff>
      <xdr:row>132</xdr:row>
      <xdr:rowOff>593234</xdr:rowOff>
    </xdr:to>
    <xdr:pic>
      <xdr:nvPicPr>
        <xdr:cNvPr id="1719" name="Picture 1718">
          <a:extLst>
            <a:ext uri="{FF2B5EF4-FFF2-40B4-BE49-F238E27FC236}">
              <a16:creationId xmlns:a16="http://schemas.microsoft.com/office/drawing/2014/main" id="{111E1A7A-8F38-4CFB-A044-53FCAD6CDEC1}"/>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133</xdr:row>
      <xdr:rowOff>17234</xdr:rowOff>
    </xdr:from>
    <xdr:to>
      <xdr:col>1</xdr:col>
      <xdr:colOff>925249</xdr:colOff>
      <xdr:row>133</xdr:row>
      <xdr:rowOff>593234</xdr:rowOff>
    </xdr:to>
    <xdr:pic>
      <xdr:nvPicPr>
        <xdr:cNvPr id="1720" name="Picture 1719">
          <a:extLst>
            <a:ext uri="{FF2B5EF4-FFF2-40B4-BE49-F238E27FC236}">
              <a16:creationId xmlns:a16="http://schemas.microsoft.com/office/drawing/2014/main" id="{88746206-5177-4351-9550-4937D07AB919}"/>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134</xdr:row>
      <xdr:rowOff>17234</xdr:rowOff>
    </xdr:from>
    <xdr:to>
      <xdr:col>1</xdr:col>
      <xdr:colOff>925249</xdr:colOff>
      <xdr:row>134</xdr:row>
      <xdr:rowOff>593234</xdr:rowOff>
    </xdr:to>
    <xdr:pic>
      <xdr:nvPicPr>
        <xdr:cNvPr id="1721" name="Picture 1720">
          <a:extLst>
            <a:ext uri="{FF2B5EF4-FFF2-40B4-BE49-F238E27FC236}">
              <a16:creationId xmlns:a16="http://schemas.microsoft.com/office/drawing/2014/main" id="{AE2DD564-86ED-45ED-B7E0-5F0219388D35}"/>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135</xdr:row>
      <xdr:rowOff>17234</xdr:rowOff>
    </xdr:from>
    <xdr:to>
      <xdr:col>1</xdr:col>
      <xdr:colOff>925249</xdr:colOff>
      <xdr:row>135</xdr:row>
      <xdr:rowOff>593234</xdr:rowOff>
    </xdr:to>
    <xdr:pic>
      <xdr:nvPicPr>
        <xdr:cNvPr id="1722" name="Picture 1721">
          <a:extLst>
            <a:ext uri="{FF2B5EF4-FFF2-40B4-BE49-F238E27FC236}">
              <a16:creationId xmlns:a16="http://schemas.microsoft.com/office/drawing/2014/main" id="{2F4DC8C6-7F84-497F-B0DC-BA8F6399CF95}"/>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136</xdr:row>
      <xdr:rowOff>17234</xdr:rowOff>
    </xdr:from>
    <xdr:to>
      <xdr:col>1</xdr:col>
      <xdr:colOff>925249</xdr:colOff>
      <xdr:row>136</xdr:row>
      <xdr:rowOff>593234</xdr:rowOff>
    </xdr:to>
    <xdr:pic>
      <xdr:nvPicPr>
        <xdr:cNvPr id="1723" name="Picture 1722">
          <a:extLst>
            <a:ext uri="{FF2B5EF4-FFF2-40B4-BE49-F238E27FC236}">
              <a16:creationId xmlns:a16="http://schemas.microsoft.com/office/drawing/2014/main" id="{20D944ED-9C6E-43C6-8720-F73EBA28DF84}"/>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137</xdr:row>
      <xdr:rowOff>17234</xdr:rowOff>
    </xdr:from>
    <xdr:to>
      <xdr:col>1</xdr:col>
      <xdr:colOff>925249</xdr:colOff>
      <xdr:row>137</xdr:row>
      <xdr:rowOff>593234</xdr:rowOff>
    </xdr:to>
    <xdr:pic>
      <xdr:nvPicPr>
        <xdr:cNvPr id="1724" name="Picture 1723">
          <a:extLst>
            <a:ext uri="{FF2B5EF4-FFF2-40B4-BE49-F238E27FC236}">
              <a16:creationId xmlns:a16="http://schemas.microsoft.com/office/drawing/2014/main" id="{99C8B83F-4ABB-426B-AD7B-11E969ED4C79}"/>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138</xdr:row>
      <xdr:rowOff>17234</xdr:rowOff>
    </xdr:from>
    <xdr:to>
      <xdr:col>1</xdr:col>
      <xdr:colOff>925249</xdr:colOff>
      <xdr:row>138</xdr:row>
      <xdr:rowOff>593234</xdr:rowOff>
    </xdr:to>
    <xdr:pic>
      <xdr:nvPicPr>
        <xdr:cNvPr id="1725" name="Picture 1724">
          <a:extLst>
            <a:ext uri="{FF2B5EF4-FFF2-40B4-BE49-F238E27FC236}">
              <a16:creationId xmlns:a16="http://schemas.microsoft.com/office/drawing/2014/main" id="{FBBE3EC8-AC4C-451E-B141-BFB5EF71AAE2}"/>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139</xdr:row>
      <xdr:rowOff>17234</xdr:rowOff>
    </xdr:from>
    <xdr:to>
      <xdr:col>1</xdr:col>
      <xdr:colOff>925249</xdr:colOff>
      <xdr:row>139</xdr:row>
      <xdr:rowOff>593234</xdr:rowOff>
    </xdr:to>
    <xdr:pic>
      <xdr:nvPicPr>
        <xdr:cNvPr id="1726" name="Picture 1725">
          <a:extLst>
            <a:ext uri="{FF2B5EF4-FFF2-40B4-BE49-F238E27FC236}">
              <a16:creationId xmlns:a16="http://schemas.microsoft.com/office/drawing/2014/main" id="{E670D642-630F-4949-B6F3-17EB2C37E3D1}"/>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140</xdr:row>
      <xdr:rowOff>17234</xdr:rowOff>
    </xdr:from>
    <xdr:to>
      <xdr:col>1</xdr:col>
      <xdr:colOff>925249</xdr:colOff>
      <xdr:row>140</xdr:row>
      <xdr:rowOff>593234</xdr:rowOff>
    </xdr:to>
    <xdr:pic>
      <xdr:nvPicPr>
        <xdr:cNvPr id="1727" name="Picture 1726">
          <a:extLst>
            <a:ext uri="{FF2B5EF4-FFF2-40B4-BE49-F238E27FC236}">
              <a16:creationId xmlns:a16="http://schemas.microsoft.com/office/drawing/2014/main" id="{5E7E37FF-B2C7-4F91-A68F-C796B51D5405}"/>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349249</xdr:colOff>
      <xdr:row>141</xdr:row>
      <xdr:rowOff>17234</xdr:rowOff>
    </xdr:from>
    <xdr:to>
      <xdr:col>1</xdr:col>
      <xdr:colOff>925249</xdr:colOff>
      <xdr:row>141</xdr:row>
      <xdr:rowOff>593234</xdr:rowOff>
    </xdr:to>
    <xdr:pic>
      <xdr:nvPicPr>
        <xdr:cNvPr id="1728" name="Picture 1727">
          <a:extLst>
            <a:ext uri="{FF2B5EF4-FFF2-40B4-BE49-F238E27FC236}">
              <a16:creationId xmlns:a16="http://schemas.microsoft.com/office/drawing/2014/main" id="{7748F9A2-65E3-4222-82C7-ADB9D4931101}"/>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1</xdr:col>
      <xdr:colOff>368676</xdr:colOff>
      <xdr:row>143</xdr:row>
      <xdr:rowOff>23131</xdr:rowOff>
    </xdr:from>
    <xdr:to>
      <xdr:col>1</xdr:col>
      <xdr:colOff>944676</xdr:colOff>
      <xdr:row>143</xdr:row>
      <xdr:rowOff>599131</xdr:rowOff>
    </xdr:to>
    <xdr:pic>
      <xdr:nvPicPr>
        <xdr:cNvPr id="1729" name="Picture 1728">
          <a:extLst>
            <a:ext uri="{FF2B5EF4-FFF2-40B4-BE49-F238E27FC236}">
              <a16:creationId xmlns:a16="http://schemas.microsoft.com/office/drawing/2014/main" id="{3E45848B-49CE-47D5-8C45-6DE7F294EDE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144</xdr:row>
      <xdr:rowOff>23131</xdr:rowOff>
    </xdr:from>
    <xdr:to>
      <xdr:col>1</xdr:col>
      <xdr:colOff>944676</xdr:colOff>
      <xdr:row>144</xdr:row>
      <xdr:rowOff>599131</xdr:rowOff>
    </xdr:to>
    <xdr:pic>
      <xdr:nvPicPr>
        <xdr:cNvPr id="1730" name="Picture 1729">
          <a:extLst>
            <a:ext uri="{FF2B5EF4-FFF2-40B4-BE49-F238E27FC236}">
              <a16:creationId xmlns:a16="http://schemas.microsoft.com/office/drawing/2014/main" id="{93BA7BA6-38A6-4701-9FE0-B88AE9C97EF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145</xdr:row>
      <xdr:rowOff>23131</xdr:rowOff>
    </xdr:from>
    <xdr:to>
      <xdr:col>1</xdr:col>
      <xdr:colOff>944676</xdr:colOff>
      <xdr:row>145</xdr:row>
      <xdr:rowOff>599131</xdr:rowOff>
    </xdr:to>
    <xdr:pic>
      <xdr:nvPicPr>
        <xdr:cNvPr id="1731" name="Picture 1730">
          <a:extLst>
            <a:ext uri="{FF2B5EF4-FFF2-40B4-BE49-F238E27FC236}">
              <a16:creationId xmlns:a16="http://schemas.microsoft.com/office/drawing/2014/main" id="{B06D1EA1-D5B7-446A-A28E-F26A55FCC93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146</xdr:row>
      <xdr:rowOff>23131</xdr:rowOff>
    </xdr:from>
    <xdr:to>
      <xdr:col>1</xdr:col>
      <xdr:colOff>944676</xdr:colOff>
      <xdr:row>146</xdr:row>
      <xdr:rowOff>599131</xdr:rowOff>
    </xdr:to>
    <xdr:pic>
      <xdr:nvPicPr>
        <xdr:cNvPr id="1732" name="Picture 1731">
          <a:extLst>
            <a:ext uri="{FF2B5EF4-FFF2-40B4-BE49-F238E27FC236}">
              <a16:creationId xmlns:a16="http://schemas.microsoft.com/office/drawing/2014/main" id="{678CCC90-C634-4EBD-BF09-7AE1B9759E0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147</xdr:row>
      <xdr:rowOff>23131</xdr:rowOff>
    </xdr:from>
    <xdr:to>
      <xdr:col>1</xdr:col>
      <xdr:colOff>944676</xdr:colOff>
      <xdr:row>147</xdr:row>
      <xdr:rowOff>599131</xdr:rowOff>
    </xdr:to>
    <xdr:pic>
      <xdr:nvPicPr>
        <xdr:cNvPr id="1733" name="Picture 1732">
          <a:extLst>
            <a:ext uri="{FF2B5EF4-FFF2-40B4-BE49-F238E27FC236}">
              <a16:creationId xmlns:a16="http://schemas.microsoft.com/office/drawing/2014/main" id="{BEBA9D19-602A-4A0C-8DE4-65D37D2508E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148</xdr:row>
      <xdr:rowOff>23131</xdr:rowOff>
    </xdr:from>
    <xdr:to>
      <xdr:col>1</xdr:col>
      <xdr:colOff>944676</xdr:colOff>
      <xdr:row>148</xdr:row>
      <xdr:rowOff>599131</xdr:rowOff>
    </xdr:to>
    <xdr:pic>
      <xdr:nvPicPr>
        <xdr:cNvPr id="1734" name="Picture 1733">
          <a:extLst>
            <a:ext uri="{FF2B5EF4-FFF2-40B4-BE49-F238E27FC236}">
              <a16:creationId xmlns:a16="http://schemas.microsoft.com/office/drawing/2014/main" id="{5DD318FD-0AEF-4F19-84EB-B07E81D4457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149</xdr:row>
      <xdr:rowOff>23131</xdr:rowOff>
    </xdr:from>
    <xdr:to>
      <xdr:col>1</xdr:col>
      <xdr:colOff>944676</xdr:colOff>
      <xdr:row>149</xdr:row>
      <xdr:rowOff>599131</xdr:rowOff>
    </xdr:to>
    <xdr:pic>
      <xdr:nvPicPr>
        <xdr:cNvPr id="1735" name="Picture 1734">
          <a:extLst>
            <a:ext uri="{FF2B5EF4-FFF2-40B4-BE49-F238E27FC236}">
              <a16:creationId xmlns:a16="http://schemas.microsoft.com/office/drawing/2014/main" id="{419482BC-B0C0-40F6-84FE-992C21EFC10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150</xdr:row>
      <xdr:rowOff>23131</xdr:rowOff>
    </xdr:from>
    <xdr:to>
      <xdr:col>1</xdr:col>
      <xdr:colOff>944676</xdr:colOff>
      <xdr:row>150</xdr:row>
      <xdr:rowOff>599131</xdr:rowOff>
    </xdr:to>
    <xdr:pic>
      <xdr:nvPicPr>
        <xdr:cNvPr id="1736" name="Picture 1735">
          <a:extLst>
            <a:ext uri="{FF2B5EF4-FFF2-40B4-BE49-F238E27FC236}">
              <a16:creationId xmlns:a16="http://schemas.microsoft.com/office/drawing/2014/main" id="{83083A90-B283-4630-8E84-8A8A3D6BC04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151</xdr:row>
      <xdr:rowOff>23131</xdr:rowOff>
    </xdr:from>
    <xdr:to>
      <xdr:col>1</xdr:col>
      <xdr:colOff>944676</xdr:colOff>
      <xdr:row>151</xdr:row>
      <xdr:rowOff>599131</xdr:rowOff>
    </xdr:to>
    <xdr:pic>
      <xdr:nvPicPr>
        <xdr:cNvPr id="1737" name="Picture 1736">
          <a:extLst>
            <a:ext uri="{FF2B5EF4-FFF2-40B4-BE49-F238E27FC236}">
              <a16:creationId xmlns:a16="http://schemas.microsoft.com/office/drawing/2014/main" id="{645C588C-F817-49C2-B01A-1F86382BCDF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152</xdr:row>
      <xdr:rowOff>23131</xdr:rowOff>
    </xdr:from>
    <xdr:to>
      <xdr:col>1</xdr:col>
      <xdr:colOff>944676</xdr:colOff>
      <xdr:row>152</xdr:row>
      <xdr:rowOff>599131</xdr:rowOff>
    </xdr:to>
    <xdr:pic>
      <xdr:nvPicPr>
        <xdr:cNvPr id="1738" name="Picture 1737">
          <a:extLst>
            <a:ext uri="{FF2B5EF4-FFF2-40B4-BE49-F238E27FC236}">
              <a16:creationId xmlns:a16="http://schemas.microsoft.com/office/drawing/2014/main" id="{476100A1-EFBA-40B1-95BA-6B029E263EB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153</xdr:row>
      <xdr:rowOff>23131</xdr:rowOff>
    </xdr:from>
    <xdr:to>
      <xdr:col>1</xdr:col>
      <xdr:colOff>944676</xdr:colOff>
      <xdr:row>153</xdr:row>
      <xdr:rowOff>599131</xdr:rowOff>
    </xdr:to>
    <xdr:pic>
      <xdr:nvPicPr>
        <xdr:cNvPr id="1739" name="Picture 1738">
          <a:extLst>
            <a:ext uri="{FF2B5EF4-FFF2-40B4-BE49-F238E27FC236}">
              <a16:creationId xmlns:a16="http://schemas.microsoft.com/office/drawing/2014/main" id="{2353F7A2-6D3B-4A8E-90F1-E6D7350D8DF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154</xdr:row>
      <xdr:rowOff>23131</xdr:rowOff>
    </xdr:from>
    <xdr:to>
      <xdr:col>1</xdr:col>
      <xdr:colOff>944676</xdr:colOff>
      <xdr:row>154</xdr:row>
      <xdr:rowOff>599131</xdr:rowOff>
    </xdr:to>
    <xdr:pic>
      <xdr:nvPicPr>
        <xdr:cNvPr id="1740" name="Picture 1739">
          <a:extLst>
            <a:ext uri="{FF2B5EF4-FFF2-40B4-BE49-F238E27FC236}">
              <a16:creationId xmlns:a16="http://schemas.microsoft.com/office/drawing/2014/main" id="{3B42F54D-3A41-42AA-B974-CD784D473C2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155</xdr:row>
      <xdr:rowOff>23131</xdr:rowOff>
    </xdr:from>
    <xdr:to>
      <xdr:col>1</xdr:col>
      <xdr:colOff>944676</xdr:colOff>
      <xdr:row>155</xdr:row>
      <xdr:rowOff>599131</xdr:rowOff>
    </xdr:to>
    <xdr:pic>
      <xdr:nvPicPr>
        <xdr:cNvPr id="1741" name="Picture 1740">
          <a:extLst>
            <a:ext uri="{FF2B5EF4-FFF2-40B4-BE49-F238E27FC236}">
              <a16:creationId xmlns:a16="http://schemas.microsoft.com/office/drawing/2014/main" id="{2ABBABEA-E27D-491E-9C0E-64D5A16F9DC8}"/>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156</xdr:row>
      <xdr:rowOff>23131</xdr:rowOff>
    </xdr:from>
    <xdr:to>
      <xdr:col>1</xdr:col>
      <xdr:colOff>944676</xdr:colOff>
      <xdr:row>156</xdr:row>
      <xdr:rowOff>599131</xdr:rowOff>
    </xdr:to>
    <xdr:pic>
      <xdr:nvPicPr>
        <xdr:cNvPr id="1742" name="Picture 1741">
          <a:extLst>
            <a:ext uri="{FF2B5EF4-FFF2-40B4-BE49-F238E27FC236}">
              <a16:creationId xmlns:a16="http://schemas.microsoft.com/office/drawing/2014/main" id="{97442E16-7496-4D5E-89EB-82A37A11905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157</xdr:row>
      <xdr:rowOff>23131</xdr:rowOff>
    </xdr:from>
    <xdr:to>
      <xdr:col>1</xdr:col>
      <xdr:colOff>944676</xdr:colOff>
      <xdr:row>157</xdr:row>
      <xdr:rowOff>599131</xdr:rowOff>
    </xdr:to>
    <xdr:pic>
      <xdr:nvPicPr>
        <xdr:cNvPr id="1743" name="Picture 1742">
          <a:extLst>
            <a:ext uri="{FF2B5EF4-FFF2-40B4-BE49-F238E27FC236}">
              <a16:creationId xmlns:a16="http://schemas.microsoft.com/office/drawing/2014/main" id="{88BD1653-1203-4BF6-9A5F-EB60A53F7CA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158</xdr:row>
      <xdr:rowOff>23131</xdr:rowOff>
    </xdr:from>
    <xdr:to>
      <xdr:col>1</xdr:col>
      <xdr:colOff>944676</xdr:colOff>
      <xdr:row>158</xdr:row>
      <xdr:rowOff>599131</xdr:rowOff>
    </xdr:to>
    <xdr:pic>
      <xdr:nvPicPr>
        <xdr:cNvPr id="1744" name="Picture 1743">
          <a:extLst>
            <a:ext uri="{FF2B5EF4-FFF2-40B4-BE49-F238E27FC236}">
              <a16:creationId xmlns:a16="http://schemas.microsoft.com/office/drawing/2014/main" id="{5DA163BB-4749-4FF9-A0E7-1E8E435638B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159</xdr:row>
      <xdr:rowOff>23131</xdr:rowOff>
    </xdr:from>
    <xdr:to>
      <xdr:col>1</xdr:col>
      <xdr:colOff>944676</xdr:colOff>
      <xdr:row>159</xdr:row>
      <xdr:rowOff>599131</xdr:rowOff>
    </xdr:to>
    <xdr:pic>
      <xdr:nvPicPr>
        <xdr:cNvPr id="1745" name="Picture 1744">
          <a:extLst>
            <a:ext uri="{FF2B5EF4-FFF2-40B4-BE49-F238E27FC236}">
              <a16:creationId xmlns:a16="http://schemas.microsoft.com/office/drawing/2014/main" id="{D636F043-E4C9-4044-A729-6F94C77E057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160</xdr:row>
      <xdr:rowOff>23131</xdr:rowOff>
    </xdr:from>
    <xdr:to>
      <xdr:col>1</xdr:col>
      <xdr:colOff>944676</xdr:colOff>
      <xdr:row>160</xdr:row>
      <xdr:rowOff>599131</xdr:rowOff>
    </xdr:to>
    <xdr:pic>
      <xdr:nvPicPr>
        <xdr:cNvPr id="1746" name="Picture 1745">
          <a:extLst>
            <a:ext uri="{FF2B5EF4-FFF2-40B4-BE49-F238E27FC236}">
              <a16:creationId xmlns:a16="http://schemas.microsoft.com/office/drawing/2014/main" id="{70C7E6C2-FEC7-49FE-BEF8-84BEEB9B7B4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368676</xdr:colOff>
      <xdr:row>161</xdr:row>
      <xdr:rowOff>23131</xdr:rowOff>
    </xdr:from>
    <xdr:to>
      <xdr:col>1</xdr:col>
      <xdr:colOff>944676</xdr:colOff>
      <xdr:row>161</xdr:row>
      <xdr:rowOff>599131</xdr:rowOff>
    </xdr:to>
    <xdr:pic>
      <xdr:nvPicPr>
        <xdr:cNvPr id="1747" name="Picture 1746">
          <a:extLst>
            <a:ext uri="{FF2B5EF4-FFF2-40B4-BE49-F238E27FC236}">
              <a16:creationId xmlns:a16="http://schemas.microsoft.com/office/drawing/2014/main" id="{FEC28D66-770E-43A1-A2F0-D68310AD3B6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75987007"/>
          <a:ext cx="576000" cy="576000"/>
        </a:xfrm>
        <a:prstGeom prst="rect">
          <a:avLst/>
        </a:prstGeom>
        <a:noFill/>
        <a:ln>
          <a:noFill/>
        </a:ln>
      </xdr:spPr>
    </xdr:pic>
    <xdr:clientData/>
  </xdr:twoCellAnchor>
  <xdr:twoCellAnchor>
    <xdr:from>
      <xdr:col>1</xdr:col>
      <xdr:colOff>358454</xdr:colOff>
      <xdr:row>163</xdr:row>
      <xdr:rowOff>21635</xdr:rowOff>
    </xdr:from>
    <xdr:to>
      <xdr:col>1</xdr:col>
      <xdr:colOff>934454</xdr:colOff>
      <xdr:row>163</xdr:row>
      <xdr:rowOff>597635</xdr:rowOff>
    </xdr:to>
    <xdr:pic>
      <xdr:nvPicPr>
        <xdr:cNvPr id="1748" name="Picture 1747">
          <a:extLst>
            <a:ext uri="{FF2B5EF4-FFF2-40B4-BE49-F238E27FC236}">
              <a16:creationId xmlns:a16="http://schemas.microsoft.com/office/drawing/2014/main" id="{3ED39F7D-6B12-46B2-B288-ED50A194200E}"/>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164</xdr:row>
      <xdr:rowOff>21635</xdr:rowOff>
    </xdr:from>
    <xdr:to>
      <xdr:col>1</xdr:col>
      <xdr:colOff>934454</xdr:colOff>
      <xdr:row>164</xdr:row>
      <xdr:rowOff>597635</xdr:rowOff>
    </xdr:to>
    <xdr:pic>
      <xdr:nvPicPr>
        <xdr:cNvPr id="1749" name="Picture 1748">
          <a:extLst>
            <a:ext uri="{FF2B5EF4-FFF2-40B4-BE49-F238E27FC236}">
              <a16:creationId xmlns:a16="http://schemas.microsoft.com/office/drawing/2014/main" id="{45DC67CB-E317-41DC-B112-49E8E817D060}"/>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165</xdr:row>
      <xdr:rowOff>21635</xdr:rowOff>
    </xdr:from>
    <xdr:to>
      <xdr:col>1</xdr:col>
      <xdr:colOff>934454</xdr:colOff>
      <xdr:row>165</xdr:row>
      <xdr:rowOff>597635</xdr:rowOff>
    </xdr:to>
    <xdr:pic>
      <xdr:nvPicPr>
        <xdr:cNvPr id="1750" name="Picture 1749">
          <a:extLst>
            <a:ext uri="{FF2B5EF4-FFF2-40B4-BE49-F238E27FC236}">
              <a16:creationId xmlns:a16="http://schemas.microsoft.com/office/drawing/2014/main" id="{5B8D1CA3-4DFA-446A-BC59-FD8B45E453B1}"/>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166</xdr:row>
      <xdr:rowOff>21635</xdr:rowOff>
    </xdr:from>
    <xdr:to>
      <xdr:col>1</xdr:col>
      <xdr:colOff>934454</xdr:colOff>
      <xdr:row>166</xdr:row>
      <xdr:rowOff>597635</xdr:rowOff>
    </xdr:to>
    <xdr:pic>
      <xdr:nvPicPr>
        <xdr:cNvPr id="1751" name="Picture 1750">
          <a:extLst>
            <a:ext uri="{FF2B5EF4-FFF2-40B4-BE49-F238E27FC236}">
              <a16:creationId xmlns:a16="http://schemas.microsoft.com/office/drawing/2014/main" id="{4ACDBC9F-87F9-442C-8AD3-57AD3690BF9B}"/>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167</xdr:row>
      <xdr:rowOff>21635</xdr:rowOff>
    </xdr:from>
    <xdr:to>
      <xdr:col>1</xdr:col>
      <xdr:colOff>934454</xdr:colOff>
      <xdr:row>167</xdr:row>
      <xdr:rowOff>597635</xdr:rowOff>
    </xdr:to>
    <xdr:pic>
      <xdr:nvPicPr>
        <xdr:cNvPr id="1752" name="Picture 1751">
          <a:extLst>
            <a:ext uri="{FF2B5EF4-FFF2-40B4-BE49-F238E27FC236}">
              <a16:creationId xmlns:a16="http://schemas.microsoft.com/office/drawing/2014/main" id="{E9936656-AAF6-4055-91A2-141CD00BD3A7}"/>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168</xdr:row>
      <xdr:rowOff>21635</xdr:rowOff>
    </xdr:from>
    <xdr:to>
      <xdr:col>1</xdr:col>
      <xdr:colOff>934454</xdr:colOff>
      <xdr:row>168</xdr:row>
      <xdr:rowOff>597635</xdr:rowOff>
    </xdr:to>
    <xdr:pic>
      <xdr:nvPicPr>
        <xdr:cNvPr id="1753" name="Picture 1752">
          <a:extLst>
            <a:ext uri="{FF2B5EF4-FFF2-40B4-BE49-F238E27FC236}">
              <a16:creationId xmlns:a16="http://schemas.microsoft.com/office/drawing/2014/main" id="{7E09CD4C-2F47-4A4A-9C53-59D216505E48}"/>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169</xdr:row>
      <xdr:rowOff>21635</xdr:rowOff>
    </xdr:from>
    <xdr:to>
      <xdr:col>1</xdr:col>
      <xdr:colOff>934454</xdr:colOff>
      <xdr:row>169</xdr:row>
      <xdr:rowOff>597635</xdr:rowOff>
    </xdr:to>
    <xdr:pic>
      <xdr:nvPicPr>
        <xdr:cNvPr id="1754" name="Picture 1753">
          <a:extLst>
            <a:ext uri="{FF2B5EF4-FFF2-40B4-BE49-F238E27FC236}">
              <a16:creationId xmlns:a16="http://schemas.microsoft.com/office/drawing/2014/main" id="{93418930-8E27-4C29-8D4B-6E877D55CDE4}"/>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170</xdr:row>
      <xdr:rowOff>21635</xdr:rowOff>
    </xdr:from>
    <xdr:to>
      <xdr:col>1</xdr:col>
      <xdr:colOff>934454</xdr:colOff>
      <xdr:row>170</xdr:row>
      <xdr:rowOff>597635</xdr:rowOff>
    </xdr:to>
    <xdr:pic>
      <xdr:nvPicPr>
        <xdr:cNvPr id="1755" name="Picture 1754">
          <a:extLst>
            <a:ext uri="{FF2B5EF4-FFF2-40B4-BE49-F238E27FC236}">
              <a16:creationId xmlns:a16="http://schemas.microsoft.com/office/drawing/2014/main" id="{F22436DA-C86F-43BD-A473-5A95B0B3AE11}"/>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171</xdr:row>
      <xdr:rowOff>21635</xdr:rowOff>
    </xdr:from>
    <xdr:to>
      <xdr:col>1</xdr:col>
      <xdr:colOff>934454</xdr:colOff>
      <xdr:row>171</xdr:row>
      <xdr:rowOff>597635</xdr:rowOff>
    </xdr:to>
    <xdr:pic>
      <xdr:nvPicPr>
        <xdr:cNvPr id="1756" name="Picture 1755">
          <a:extLst>
            <a:ext uri="{FF2B5EF4-FFF2-40B4-BE49-F238E27FC236}">
              <a16:creationId xmlns:a16="http://schemas.microsoft.com/office/drawing/2014/main" id="{8C2175E1-B970-4E50-B66B-B9D139490E57}"/>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172</xdr:row>
      <xdr:rowOff>21635</xdr:rowOff>
    </xdr:from>
    <xdr:to>
      <xdr:col>1</xdr:col>
      <xdr:colOff>934454</xdr:colOff>
      <xdr:row>172</xdr:row>
      <xdr:rowOff>597635</xdr:rowOff>
    </xdr:to>
    <xdr:pic>
      <xdr:nvPicPr>
        <xdr:cNvPr id="1757" name="Picture 1756">
          <a:extLst>
            <a:ext uri="{FF2B5EF4-FFF2-40B4-BE49-F238E27FC236}">
              <a16:creationId xmlns:a16="http://schemas.microsoft.com/office/drawing/2014/main" id="{A0847363-6F60-4E9F-A967-35A98EE1F524}"/>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173</xdr:row>
      <xdr:rowOff>21635</xdr:rowOff>
    </xdr:from>
    <xdr:to>
      <xdr:col>1</xdr:col>
      <xdr:colOff>934454</xdr:colOff>
      <xdr:row>173</xdr:row>
      <xdr:rowOff>597635</xdr:rowOff>
    </xdr:to>
    <xdr:pic>
      <xdr:nvPicPr>
        <xdr:cNvPr id="1758" name="Picture 1757">
          <a:extLst>
            <a:ext uri="{FF2B5EF4-FFF2-40B4-BE49-F238E27FC236}">
              <a16:creationId xmlns:a16="http://schemas.microsoft.com/office/drawing/2014/main" id="{426130B8-D670-48FC-9254-80637414201C}"/>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174</xdr:row>
      <xdr:rowOff>21635</xdr:rowOff>
    </xdr:from>
    <xdr:to>
      <xdr:col>1</xdr:col>
      <xdr:colOff>934454</xdr:colOff>
      <xdr:row>174</xdr:row>
      <xdr:rowOff>597635</xdr:rowOff>
    </xdr:to>
    <xdr:pic>
      <xdr:nvPicPr>
        <xdr:cNvPr id="1759" name="Picture 1758">
          <a:extLst>
            <a:ext uri="{FF2B5EF4-FFF2-40B4-BE49-F238E27FC236}">
              <a16:creationId xmlns:a16="http://schemas.microsoft.com/office/drawing/2014/main" id="{EC8CF5D5-68C0-4F19-B815-26559E7B7D6B}"/>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175</xdr:row>
      <xdr:rowOff>21635</xdr:rowOff>
    </xdr:from>
    <xdr:to>
      <xdr:col>1</xdr:col>
      <xdr:colOff>934454</xdr:colOff>
      <xdr:row>175</xdr:row>
      <xdr:rowOff>597635</xdr:rowOff>
    </xdr:to>
    <xdr:pic>
      <xdr:nvPicPr>
        <xdr:cNvPr id="1760" name="Picture 1759">
          <a:extLst>
            <a:ext uri="{FF2B5EF4-FFF2-40B4-BE49-F238E27FC236}">
              <a16:creationId xmlns:a16="http://schemas.microsoft.com/office/drawing/2014/main" id="{4E8372C3-65AF-4F8F-915F-6D722AE037F3}"/>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176</xdr:row>
      <xdr:rowOff>21635</xdr:rowOff>
    </xdr:from>
    <xdr:to>
      <xdr:col>1</xdr:col>
      <xdr:colOff>934454</xdr:colOff>
      <xdr:row>176</xdr:row>
      <xdr:rowOff>597635</xdr:rowOff>
    </xdr:to>
    <xdr:pic>
      <xdr:nvPicPr>
        <xdr:cNvPr id="1761" name="Picture 1760">
          <a:extLst>
            <a:ext uri="{FF2B5EF4-FFF2-40B4-BE49-F238E27FC236}">
              <a16:creationId xmlns:a16="http://schemas.microsoft.com/office/drawing/2014/main" id="{6A6BD47C-B37A-45F8-8645-7EBA8A835D0E}"/>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177</xdr:row>
      <xdr:rowOff>21635</xdr:rowOff>
    </xdr:from>
    <xdr:to>
      <xdr:col>1</xdr:col>
      <xdr:colOff>934454</xdr:colOff>
      <xdr:row>177</xdr:row>
      <xdr:rowOff>597635</xdr:rowOff>
    </xdr:to>
    <xdr:pic>
      <xdr:nvPicPr>
        <xdr:cNvPr id="1762" name="Picture 1761">
          <a:extLst>
            <a:ext uri="{FF2B5EF4-FFF2-40B4-BE49-F238E27FC236}">
              <a16:creationId xmlns:a16="http://schemas.microsoft.com/office/drawing/2014/main" id="{C8403C2D-C5DF-4703-9EB7-9848579C2287}"/>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358454</xdr:colOff>
      <xdr:row>178</xdr:row>
      <xdr:rowOff>21635</xdr:rowOff>
    </xdr:from>
    <xdr:to>
      <xdr:col>1</xdr:col>
      <xdr:colOff>934454</xdr:colOff>
      <xdr:row>178</xdr:row>
      <xdr:rowOff>597635</xdr:rowOff>
    </xdr:to>
    <xdr:pic>
      <xdr:nvPicPr>
        <xdr:cNvPr id="1763" name="Picture 1762">
          <a:extLst>
            <a:ext uri="{FF2B5EF4-FFF2-40B4-BE49-F238E27FC236}">
              <a16:creationId xmlns:a16="http://schemas.microsoft.com/office/drawing/2014/main" id="{885BF376-F7FC-4AF1-892D-0DF24BC59302}"/>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1</xdr:col>
      <xdr:colOff>354985</xdr:colOff>
      <xdr:row>180</xdr:row>
      <xdr:rowOff>17236</xdr:rowOff>
    </xdr:from>
    <xdr:to>
      <xdr:col>1</xdr:col>
      <xdr:colOff>930985</xdr:colOff>
      <xdr:row>180</xdr:row>
      <xdr:rowOff>593236</xdr:rowOff>
    </xdr:to>
    <xdr:pic>
      <xdr:nvPicPr>
        <xdr:cNvPr id="1768" name="Picture 1767">
          <a:extLst>
            <a:ext uri="{FF2B5EF4-FFF2-40B4-BE49-F238E27FC236}">
              <a16:creationId xmlns:a16="http://schemas.microsoft.com/office/drawing/2014/main" id="{8E783F18-5EBF-471A-9FA9-366E14A6662E}"/>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181</xdr:row>
      <xdr:rowOff>17236</xdr:rowOff>
    </xdr:from>
    <xdr:to>
      <xdr:col>1</xdr:col>
      <xdr:colOff>930985</xdr:colOff>
      <xdr:row>181</xdr:row>
      <xdr:rowOff>593236</xdr:rowOff>
    </xdr:to>
    <xdr:pic>
      <xdr:nvPicPr>
        <xdr:cNvPr id="1769" name="Picture 1768">
          <a:extLst>
            <a:ext uri="{FF2B5EF4-FFF2-40B4-BE49-F238E27FC236}">
              <a16:creationId xmlns:a16="http://schemas.microsoft.com/office/drawing/2014/main" id="{02C5F9CF-4783-4446-B3BC-1E3E2E2F9E49}"/>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182</xdr:row>
      <xdr:rowOff>17236</xdr:rowOff>
    </xdr:from>
    <xdr:to>
      <xdr:col>1</xdr:col>
      <xdr:colOff>930985</xdr:colOff>
      <xdr:row>182</xdr:row>
      <xdr:rowOff>593236</xdr:rowOff>
    </xdr:to>
    <xdr:pic>
      <xdr:nvPicPr>
        <xdr:cNvPr id="1770" name="Picture 1769">
          <a:extLst>
            <a:ext uri="{FF2B5EF4-FFF2-40B4-BE49-F238E27FC236}">
              <a16:creationId xmlns:a16="http://schemas.microsoft.com/office/drawing/2014/main" id="{4022AAA0-3BE6-4F5B-A9BA-04B6F8F7CCCE}"/>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183</xdr:row>
      <xdr:rowOff>17236</xdr:rowOff>
    </xdr:from>
    <xdr:to>
      <xdr:col>1</xdr:col>
      <xdr:colOff>930985</xdr:colOff>
      <xdr:row>183</xdr:row>
      <xdr:rowOff>593236</xdr:rowOff>
    </xdr:to>
    <xdr:pic>
      <xdr:nvPicPr>
        <xdr:cNvPr id="1771" name="Picture 1770">
          <a:extLst>
            <a:ext uri="{FF2B5EF4-FFF2-40B4-BE49-F238E27FC236}">
              <a16:creationId xmlns:a16="http://schemas.microsoft.com/office/drawing/2014/main" id="{52C49141-C406-492F-8040-A7C0C87A74AA}"/>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184</xdr:row>
      <xdr:rowOff>17236</xdr:rowOff>
    </xdr:from>
    <xdr:to>
      <xdr:col>1</xdr:col>
      <xdr:colOff>930985</xdr:colOff>
      <xdr:row>184</xdr:row>
      <xdr:rowOff>593236</xdr:rowOff>
    </xdr:to>
    <xdr:pic>
      <xdr:nvPicPr>
        <xdr:cNvPr id="1772" name="Picture 1771">
          <a:extLst>
            <a:ext uri="{FF2B5EF4-FFF2-40B4-BE49-F238E27FC236}">
              <a16:creationId xmlns:a16="http://schemas.microsoft.com/office/drawing/2014/main" id="{BC7708CC-A1F7-496C-A8D2-468303B27498}"/>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185</xdr:row>
      <xdr:rowOff>17236</xdr:rowOff>
    </xdr:from>
    <xdr:to>
      <xdr:col>1</xdr:col>
      <xdr:colOff>930985</xdr:colOff>
      <xdr:row>185</xdr:row>
      <xdr:rowOff>593236</xdr:rowOff>
    </xdr:to>
    <xdr:pic>
      <xdr:nvPicPr>
        <xdr:cNvPr id="1773" name="Picture 1772">
          <a:extLst>
            <a:ext uri="{FF2B5EF4-FFF2-40B4-BE49-F238E27FC236}">
              <a16:creationId xmlns:a16="http://schemas.microsoft.com/office/drawing/2014/main" id="{0B755122-004C-48A2-BC42-E1158D2AE76A}"/>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186</xdr:row>
      <xdr:rowOff>17236</xdr:rowOff>
    </xdr:from>
    <xdr:to>
      <xdr:col>1</xdr:col>
      <xdr:colOff>930985</xdr:colOff>
      <xdr:row>186</xdr:row>
      <xdr:rowOff>593236</xdr:rowOff>
    </xdr:to>
    <xdr:pic>
      <xdr:nvPicPr>
        <xdr:cNvPr id="1774" name="Picture 1773">
          <a:extLst>
            <a:ext uri="{FF2B5EF4-FFF2-40B4-BE49-F238E27FC236}">
              <a16:creationId xmlns:a16="http://schemas.microsoft.com/office/drawing/2014/main" id="{A985BB40-41F7-4142-8577-D6266E1C41A0}"/>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187</xdr:row>
      <xdr:rowOff>17236</xdr:rowOff>
    </xdr:from>
    <xdr:to>
      <xdr:col>1</xdr:col>
      <xdr:colOff>930985</xdr:colOff>
      <xdr:row>187</xdr:row>
      <xdr:rowOff>593236</xdr:rowOff>
    </xdr:to>
    <xdr:pic>
      <xdr:nvPicPr>
        <xdr:cNvPr id="1775" name="Picture 1774">
          <a:extLst>
            <a:ext uri="{FF2B5EF4-FFF2-40B4-BE49-F238E27FC236}">
              <a16:creationId xmlns:a16="http://schemas.microsoft.com/office/drawing/2014/main" id="{162E15C8-0163-448F-9285-6850F7C9CA49}"/>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188</xdr:row>
      <xdr:rowOff>17236</xdr:rowOff>
    </xdr:from>
    <xdr:to>
      <xdr:col>1</xdr:col>
      <xdr:colOff>930985</xdr:colOff>
      <xdr:row>188</xdr:row>
      <xdr:rowOff>593236</xdr:rowOff>
    </xdr:to>
    <xdr:pic>
      <xdr:nvPicPr>
        <xdr:cNvPr id="1776" name="Picture 1775">
          <a:extLst>
            <a:ext uri="{FF2B5EF4-FFF2-40B4-BE49-F238E27FC236}">
              <a16:creationId xmlns:a16="http://schemas.microsoft.com/office/drawing/2014/main" id="{D23A5D0A-A529-4909-9DB8-4B909111B4B5}"/>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189</xdr:row>
      <xdr:rowOff>17236</xdr:rowOff>
    </xdr:from>
    <xdr:to>
      <xdr:col>1</xdr:col>
      <xdr:colOff>930985</xdr:colOff>
      <xdr:row>189</xdr:row>
      <xdr:rowOff>593236</xdr:rowOff>
    </xdr:to>
    <xdr:pic>
      <xdr:nvPicPr>
        <xdr:cNvPr id="1777" name="Picture 1776">
          <a:extLst>
            <a:ext uri="{FF2B5EF4-FFF2-40B4-BE49-F238E27FC236}">
              <a16:creationId xmlns:a16="http://schemas.microsoft.com/office/drawing/2014/main" id="{4BBDE8F2-417E-4200-B369-2200A5025047}"/>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190</xdr:row>
      <xdr:rowOff>17236</xdr:rowOff>
    </xdr:from>
    <xdr:to>
      <xdr:col>1</xdr:col>
      <xdr:colOff>930985</xdr:colOff>
      <xdr:row>190</xdr:row>
      <xdr:rowOff>593236</xdr:rowOff>
    </xdr:to>
    <xdr:pic>
      <xdr:nvPicPr>
        <xdr:cNvPr id="1778" name="Picture 1777">
          <a:extLst>
            <a:ext uri="{FF2B5EF4-FFF2-40B4-BE49-F238E27FC236}">
              <a16:creationId xmlns:a16="http://schemas.microsoft.com/office/drawing/2014/main" id="{58D8B47D-93FB-4073-A716-55C705D290A9}"/>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191</xdr:row>
      <xdr:rowOff>17236</xdr:rowOff>
    </xdr:from>
    <xdr:to>
      <xdr:col>1</xdr:col>
      <xdr:colOff>930985</xdr:colOff>
      <xdr:row>191</xdr:row>
      <xdr:rowOff>593236</xdr:rowOff>
    </xdr:to>
    <xdr:pic>
      <xdr:nvPicPr>
        <xdr:cNvPr id="1779" name="Picture 1778">
          <a:extLst>
            <a:ext uri="{FF2B5EF4-FFF2-40B4-BE49-F238E27FC236}">
              <a16:creationId xmlns:a16="http://schemas.microsoft.com/office/drawing/2014/main" id="{3ACBA59F-9A25-4074-A5C5-EB15A2843DDE}"/>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192</xdr:row>
      <xdr:rowOff>17236</xdr:rowOff>
    </xdr:from>
    <xdr:to>
      <xdr:col>1</xdr:col>
      <xdr:colOff>930985</xdr:colOff>
      <xdr:row>192</xdr:row>
      <xdr:rowOff>593236</xdr:rowOff>
    </xdr:to>
    <xdr:pic>
      <xdr:nvPicPr>
        <xdr:cNvPr id="1780" name="Picture 1779">
          <a:extLst>
            <a:ext uri="{FF2B5EF4-FFF2-40B4-BE49-F238E27FC236}">
              <a16:creationId xmlns:a16="http://schemas.microsoft.com/office/drawing/2014/main" id="{D8607B2C-218F-4D35-ADAC-75676B6377D9}"/>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193</xdr:row>
      <xdr:rowOff>17236</xdr:rowOff>
    </xdr:from>
    <xdr:to>
      <xdr:col>1</xdr:col>
      <xdr:colOff>930985</xdr:colOff>
      <xdr:row>193</xdr:row>
      <xdr:rowOff>593236</xdr:rowOff>
    </xdr:to>
    <xdr:pic>
      <xdr:nvPicPr>
        <xdr:cNvPr id="1781" name="Picture 1780">
          <a:extLst>
            <a:ext uri="{FF2B5EF4-FFF2-40B4-BE49-F238E27FC236}">
              <a16:creationId xmlns:a16="http://schemas.microsoft.com/office/drawing/2014/main" id="{F29C5A11-B198-400B-80D5-BA4EB3CA60BB}"/>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354985</xdr:colOff>
      <xdr:row>194</xdr:row>
      <xdr:rowOff>17236</xdr:rowOff>
    </xdr:from>
    <xdr:to>
      <xdr:col>1</xdr:col>
      <xdr:colOff>930985</xdr:colOff>
      <xdr:row>194</xdr:row>
      <xdr:rowOff>593236</xdr:rowOff>
    </xdr:to>
    <xdr:pic>
      <xdr:nvPicPr>
        <xdr:cNvPr id="1782" name="Picture 1781">
          <a:extLst>
            <a:ext uri="{FF2B5EF4-FFF2-40B4-BE49-F238E27FC236}">
              <a16:creationId xmlns:a16="http://schemas.microsoft.com/office/drawing/2014/main" id="{E19B5DCB-8734-4448-8D5B-85C22BDCA6E5}"/>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00922204"/>
          <a:ext cx="576000" cy="576000"/>
        </a:xfrm>
        <a:prstGeom prst="rect">
          <a:avLst/>
        </a:prstGeom>
      </xdr:spPr>
    </xdr:pic>
    <xdr:clientData/>
  </xdr:twoCellAnchor>
  <xdr:twoCellAnchor>
    <xdr:from>
      <xdr:col>1</xdr:col>
      <xdr:colOff>356055</xdr:colOff>
      <xdr:row>196</xdr:row>
      <xdr:rowOff>17235</xdr:rowOff>
    </xdr:from>
    <xdr:to>
      <xdr:col>1</xdr:col>
      <xdr:colOff>932212</xdr:colOff>
      <xdr:row>196</xdr:row>
      <xdr:rowOff>593235</xdr:rowOff>
    </xdr:to>
    <xdr:pic>
      <xdr:nvPicPr>
        <xdr:cNvPr id="1787" name="Picture 1786">
          <a:extLst>
            <a:ext uri="{FF2B5EF4-FFF2-40B4-BE49-F238E27FC236}">
              <a16:creationId xmlns:a16="http://schemas.microsoft.com/office/drawing/2014/main" id="{A460066C-8CF6-45A4-ACD4-C74CC63FBEBF}"/>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197</xdr:row>
      <xdr:rowOff>17235</xdr:rowOff>
    </xdr:from>
    <xdr:to>
      <xdr:col>1</xdr:col>
      <xdr:colOff>932212</xdr:colOff>
      <xdr:row>197</xdr:row>
      <xdr:rowOff>593235</xdr:rowOff>
    </xdr:to>
    <xdr:pic>
      <xdr:nvPicPr>
        <xdr:cNvPr id="1788" name="Picture 1787">
          <a:extLst>
            <a:ext uri="{FF2B5EF4-FFF2-40B4-BE49-F238E27FC236}">
              <a16:creationId xmlns:a16="http://schemas.microsoft.com/office/drawing/2014/main" id="{2BFED845-5E30-460D-9BE3-10F7D6C9796F}"/>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198</xdr:row>
      <xdr:rowOff>17235</xdr:rowOff>
    </xdr:from>
    <xdr:to>
      <xdr:col>1</xdr:col>
      <xdr:colOff>932212</xdr:colOff>
      <xdr:row>198</xdr:row>
      <xdr:rowOff>593235</xdr:rowOff>
    </xdr:to>
    <xdr:pic>
      <xdr:nvPicPr>
        <xdr:cNvPr id="1789" name="Picture 1788">
          <a:extLst>
            <a:ext uri="{FF2B5EF4-FFF2-40B4-BE49-F238E27FC236}">
              <a16:creationId xmlns:a16="http://schemas.microsoft.com/office/drawing/2014/main" id="{E80F3843-7331-4A40-8AB9-6C2692FE8DE2}"/>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199</xdr:row>
      <xdr:rowOff>17235</xdr:rowOff>
    </xdr:from>
    <xdr:to>
      <xdr:col>1</xdr:col>
      <xdr:colOff>932212</xdr:colOff>
      <xdr:row>199</xdr:row>
      <xdr:rowOff>593235</xdr:rowOff>
    </xdr:to>
    <xdr:pic>
      <xdr:nvPicPr>
        <xdr:cNvPr id="1790" name="Picture 1789">
          <a:extLst>
            <a:ext uri="{FF2B5EF4-FFF2-40B4-BE49-F238E27FC236}">
              <a16:creationId xmlns:a16="http://schemas.microsoft.com/office/drawing/2014/main" id="{B50DF192-BBCF-405C-82EC-73CC786B3804}"/>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200</xdr:row>
      <xdr:rowOff>17235</xdr:rowOff>
    </xdr:from>
    <xdr:to>
      <xdr:col>1</xdr:col>
      <xdr:colOff>932212</xdr:colOff>
      <xdr:row>200</xdr:row>
      <xdr:rowOff>593235</xdr:rowOff>
    </xdr:to>
    <xdr:pic>
      <xdr:nvPicPr>
        <xdr:cNvPr id="1791" name="Picture 1790">
          <a:extLst>
            <a:ext uri="{FF2B5EF4-FFF2-40B4-BE49-F238E27FC236}">
              <a16:creationId xmlns:a16="http://schemas.microsoft.com/office/drawing/2014/main" id="{F70873CF-81AD-4972-9493-4952437BC94E}"/>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201</xdr:row>
      <xdr:rowOff>17235</xdr:rowOff>
    </xdr:from>
    <xdr:to>
      <xdr:col>1</xdr:col>
      <xdr:colOff>932212</xdr:colOff>
      <xdr:row>201</xdr:row>
      <xdr:rowOff>593235</xdr:rowOff>
    </xdr:to>
    <xdr:pic>
      <xdr:nvPicPr>
        <xdr:cNvPr id="1792" name="Picture 1791">
          <a:extLst>
            <a:ext uri="{FF2B5EF4-FFF2-40B4-BE49-F238E27FC236}">
              <a16:creationId xmlns:a16="http://schemas.microsoft.com/office/drawing/2014/main" id="{DB1E9892-C9FC-4EE6-82A6-3CB035C04922}"/>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202</xdr:row>
      <xdr:rowOff>17235</xdr:rowOff>
    </xdr:from>
    <xdr:to>
      <xdr:col>1</xdr:col>
      <xdr:colOff>932212</xdr:colOff>
      <xdr:row>202</xdr:row>
      <xdr:rowOff>593235</xdr:rowOff>
    </xdr:to>
    <xdr:pic>
      <xdr:nvPicPr>
        <xdr:cNvPr id="1793" name="Picture 1792">
          <a:extLst>
            <a:ext uri="{FF2B5EF4-FFF2-40B4-BE49-F238E27FC236}">
              <a16:creationId xmlns:a16="http://schemas.microsoft.com/office/drawing/2014/main" id="{75C00816-2F0D-412F-983F-8DAA3412996D}"/>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203</xdr:row>
      <xdr:rowOff>17235</xdr:rowOff>
    </xdr:from>
    <xdr:to>
      <xdr:col>1</xdr:col>
      <xdr:colOff>932212</xdr:colOff>
      <xdr:row>203</xdr:row>
      <xdr:rowOff>593235</xdr:rowOff>
    </xdr:to>
    <xdr:pic>
      <xdr:nvPicPr>
        <xdr:cNvPr id="1794" name="Picture 1793">
          <a:extLst>
            <a:ext uri="{FF2B5EF4-FFF2-40B4-BE49-F238E27FC236}">
              <a16:creationId xmlns:a16="http://schemas.microsoft.com/office/drawing/2014/main" id="{F6318583-71AC-4A70-A134-2D7968B3378D}"/>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204</xdr:row>
      <xdr:rowOff>17235</xdr:rowOff>
    </xdr:from>
    <xdr:to>
      <xdr:col>1</xdr:col>
      <xdr:colOff>932212</xdr:colOff>
      <xdr:row>204</xdr:row>
      <xdr:rowOff>593235</xdr:rowOff>
    </xdr:to>
    <xdr:pic>
      <xdr:nvPicPr>
        <xdr:cNvPr id="1795" name="Picture 1794">
          <a:extLst>
            <a:ext uri="{FF2B5EF4-FFF2-40B4-BE49-F238E27FC236}">
              <a16:creationId xmlns:a16="http://schemas.microsoft.com/office/drawing/2014/main" id="{9554F7A6-0FF9-4F76-8184-51FABDE5473F}"/>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205</xdr:row>
      <xdr:rowOff>17235</xdr:rowOff>
    </xdr:from>
    <xdr:to>
      <xdr:col>1</xdr:col>
      <xdr:colOff>932212</xdr:colOff>
      <xdr:row>205</xdr:row>
      <xdr:rowOff>593235</xdr:rowOff>
    </xdr:to>
    <xdr:pic>
      <xdr:nvPicPr>
        <xdr:cNvPr id="1796" name="Picture 1795">
          <a:extLst>
            <a:ext uri="{FF2B5EF4-FFF2-40B4-BE49-F238E27FC236}">
              <a16:creationId xmlns:a16="http://schemas.microsoft.com/office/drawing/2014/main" id="{9FDFCEB8-8293-4AB7-B159-85CFC5EDF715}"/>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206</xdr:row>
      <xdr:rowOff>17235</xdr:rowOff>
    </xdr:from>
    <xdr:to>
      <xdr:col>1</xdr:col>
      <xdr:colOff>932212</xdr:colOff>
      <xdr:row>206</xdr:row>
      <xdr:rowOff>593235</xdr:rowOff>
    </xdr:to>
    <xdr:pic>
      <xdr:nvPicPr>
        <xdr:cNvPr id="1797" name="Picture 1796">
          <a:extLst>
            <a:ext uri="{FF2B5EF4-FFF2-40B4-BE49-F238E27FC236}">
              <a16:creationId xmlns:a16="http://schemas.microsoft.com/office/drawing/2014/main" id="{886B87A6-F3D1-4C36-A5F2-1E25829AEBD6}"/>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207</xdr:row>
      <xdr:rowOff>17235</xdr:rowOff>
    </xdr:from>
    <xdr:to>
      <xdr:col>1</xdr:col>
      <xdr:colOff>932212</xdr:colOff>
      <xdr:row>207</xdr:row>
      <xdr:rowOff>593235</xdr:rowOff>
    </xdr:to>
    <xdr:pic>
      <xdr:nvPicPr>
        <xdr:cNvPr id="1798" name="Picture 1797">
          <a:extLst>
            <a:ext uri="{FF2B5EF4-FFF2-40B4-BE49-F238E27FC236}">
              <a16:creationId xmlns:a16="http://schemas.microsoft.com/office/drawing/2014/main" id="{323FBF28-8F59-41D0-B234-01E6EBB6DA4A}"/>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208</xdr:row>
      <xdr:rowOff>17235</xdr:rowOff>
    </xdr:from>
    <xdr:to>
      <xdr:col>1</xdr:col>
      <xdr:colOff>932212</xdr:colOff>
      <xdr:row>208</xdr:row>
      <xdr:rowOff>593235</xdr:rowOff>
    </xdr:to>
    <xdr:pic>
      <xdr:nvPicPr>
        <xdr:cNvPr id="1799" name="Picture 1798">
          <a:extLst>
            <a:ext uri="{FF2B5EF4-FFF2-40B4-BE49-F238E27FC236}">
              <a16:creationId xmlns:a16="http://schemas.microsoft.com/office/drawing/2014/main" id="{F49B1EAB-7D52-444F-8865-A412AB5F971F}"/>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209</xdr:row>
      <xdr:rowOff>17235</xdr:rowOff>
    </xdr:from>
    <xdr:to>
      <xdr:col>1</xdr:col>
      <xdr:colOff>932212</xdr:colOff>
      <xdr:row>209</xdr:row>
      <xdr:rowOff>593235</xdr:rowOff>
    </xdr:to>
    <xdr:pic>
      <xdr:nvPicPr>
        <xdr:cNvPr id="1800" name="Picture 1799">
          <a:extLst>
            <a:ext uri="{FF2B5EF4-FFF2-40B4-BE49-F238E27FC236}">
              <a16:creationId xmlns:a16="http://schemas.microsoft.com/office/drawing/2014/main" id="{5AB538D7-2B13-4ABA-9EC0-1BAEADCBEC9B}"/>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356055</xdr:colOff>
      <xdr:row>210</xdr:row>
      <xdr:rowOff>17235</xdr:rowOff>
    </xdr:from>
    <xdr:to>
      <xdr:col>1</xdr:col>
      <xdr:colOff>932212</xdr:colOff>
      <xdr:row>210</xdr:row>
      <xdr:rowOff>593235</xdr:rowOff>
    </xdr:to>
    <xdr:pic>
      <xdr:nvPicPr>
        <xdr:cNvPr id="1801" name="Picture 1800">
          <a:extLst>
            <a:ext uri="{FF2B5EF4-FFF2-40B4-BE49-F238E27FC236}">
              <a16:creationId xmlns:a16="http://schemas.microsoft.com/office/drawing/2014/main" id="{78CF6C10-877D-4918-A4DF-F278B3E6807E}"/>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1</xdr:col>
      <xdr:colOff>358776</xdr:colOff>
      <xdr:row>212</xdr:row>
      <xdr:rowOff>16328</xdr:rowOff>
    </xdr:from>
    <xdr:to>
      <xdr:col>1</xdr:col>
      <xdr:colOff>933957</xdr:colOff>
      <xdr:row>212</xdr:row>
      <xdr:rowOff>592328</xdr:rowOff>
    </xdr:to>
    <xdr:pic>
      <xdr:nvPicPr>
        <xdr:cNvPr id="1806" name="Picture 1805">
          <a:extLst>
            <a:ext uri="{FF2B5EF4-FFF2-40B4-BE49-F238E27FC236}">
              <a16:creationId xmlns:a16="http://schemas.microsoft.com/office/drawing/2014/main" id="{998F64F5-8081-44CA-8178-DAD4250655E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213</xdr:row>
      <xdr:rowOff>16328</xdr:rowOff>
    </xdr:from>
    <xdr:to>
      <xdr:col>1</xdr:col>
      <xdr:colOff>933957</xdr:colOff>
      <xdr:row>213</xdr:row>
      <xdr:rowOff>592328</xdr:rowOff>
    </xdr:to>
    <xdr:pic>
      <xdr:nvPicPr>
        <xdr:cNvPr id="1807" name="Picture 1806">
          <a:extLst>
            <a:ext uri="{FF2B5EF4-FFF2-40B4-BE49-F238E27FC236}">
              <a16:creationId xmlns:a16="http://schemas.microsoft.com/office/drawing/2014/main" id="{F91A9BFC-F952-4220-AA13-4569911AEB0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214</xdr:row>
      <xdr:rowOff>16328</xdr:rowOff>
    </xdr:from>
    <xdr:to>
      <xdr:col>1</xdr:col>
      <xdr:colOff>933957</xdr:colOff>
      <xdr:row>214</xdr:row>
      <xdr:rowOff>592328</xdr:rowOff>
    </xdr:to>
    <xdr:pic>
      <xdr:nvPicPr>
        <xdr:cNvPr id="1808" name="Picture 1807">
          <a:extLst>
            <a:ext uri="{FF2B5EF4-FFF2-40B4-BE49-F238E27FC236}">
              <a16:creationId xmlns:a16="http://schemas.microsoft.com/office/drawing/2014/main" id="{B9530FCE-A45B-4FF1-802B-9D22F682862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215</xdr:row>
      <xdr:rowOff>16328</xdr:rowOff>
    </xdr:from>
    <xdr:to>
      <xdr:col>1</xdr:col>
      <xdr:colOff>933957</xdr:colOff>
      <xdr:row>215</xdr:row>
      <xdr:rowOff>592328</xdr:rowOff>
    </xdr:to>
    <xdr:pic>
      <xdr:nvPicPr>
        <xdr:cNvPr id="1809" name="Picture 1808">
          <a:extLst>
            <a:ext uri="{FF2B5EF4-FFF2-40B4-BE49-F238E27FC236}">
              <a16:creationId xmlns:a16="http://schemas.microsoft.com/office/drawing/2014/main" id="{C8D1F575-ECFD-4FB9-8AB1-B6370DE7D37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216</xdr:row>
      <xdr:rowOff>16328</xdr:rowOff>
    </xdr:from>
    <xdr:to>
      <xdr:col>1</xdr:col>
      <xdr:colOff>933957</xdr:colOff>
      <xdr:row>216</xdr:row>
      <xdr:rowOff>592328</xdr:rowOff>
    </xdr:to>
    <xdr:pic>
      <xdr:nvPicPr>
        <xdr:cNvPr id="1810" name="Picture 1809">
          <a:extLst>
            <a:ext uri="{FF2B5EF4-FFF2-40B4-BE49-F238E27FC236}">
              <a16:creationId xmlns:a16="http://schemas.microsoft.com/office/drawing/2014/main" id="{43BEBB90-8281-4362-9760-0F812762797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217</xdr:row>
      <xdr:rowOff>16328</xdr:rowOff>
    </xdr:from>
    <xdr:to>
      <xdr:col>1</xdr:col>
      <xdr:colOff>933957</xdr:colOff>
      <xdr:row>217</xdr:row>
      <xdr:rowOff>592328</xdr:rowOff>
    </xdr:to>
    <xdr:pic>
      <xdr:nvPicPr>
        <xdr:cNvPr id="1811" name="Picture 1810">
          <a:extLst>
            <a:ext uri="{FF2B5EF4-FFF2-40B4-BE49-F238E27FC236}">
              <a16:creationId xmlns:a16="http://schemas.microsoft.com/office/drawing/2014/main" id="{965B8F47-733B-43CB-948A-45834B0B944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218</xdr:row>
      <xdr:rowOff>16328</xdr:rowOff>
    </xdr:from>
    <xdr:to>
      <xdr:col>1</xdr:col>
      <xdr:colOff>933957</xdr:colOff>
      <xdr:row>218</xdr:row>
      <xdr:rowOff>592328</xdr:rowOff>
    </xdr:to>
    <xdr:pic>
      <xdr:nvPicPr>
        <xdr:cNvPr id="1812" name="Picture 1811">
          <a:extLst>
            <a:ext uri="{FF2B5EF4-FFF2-40B4-BE49-F238E27FC236}">
              <a16:creationId xmlns:a16="http://schemas.microsoft.com/office/drawing/2014/main" id="{476E389D-1B1E-44EA-81DA-A4D6C021923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219</xdr:row>
      <xdr:rowOff>16328</xdr:rowOff>
    </xdr:from>
    <xdr:to>
      <xdr:col>1</xdr:col>
      <xdr:colOff>933957</xdr:colOff>
      <xdr:row>219</xdr:row>
      <xdr:rowOff>592328</xdr:rowOff>
    </xdr:to>
    <xdr:pic>
      <xdr:nvPicPr>
        <xdr:cNvPr id="1813" name="Picture 1812">
          <a:extLst>
            <a:ext uri="{FF2B5EF4-FFF2-40B4-BE49-F238E27FC236}">
              <a16:creationId xmlns:a16="http://schemas.microsoft.com/office/drawing/2014/main" id="{70444D36-5C25-4824-9569-5DC107212D3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220</xdr:row>
      <xdr:rowOff>16328</xdr:rowOff>
    </xdr:from>
    <xdr:to>
      <xdr:col>1</xdr:col>
      <xdr:colOff>933957</xdr:colOff>
      <xdr:row>220</xdr:row>
      <xdr:rowOff>592328</xdr:rowOff>
    </xdr:to>
    <xdr:pic>
      <xdr:nvPicPr>
        <xdr:cNvPr id="1814" name="Picture 1813">
          <a:extLst>
            <a:ext uri="{FF2B5EF4-FFF2-40B4-BE49-F238E27FC236}">
              <a16:creationId xmlns:a16="http://schemas.microsoft.com/office/drawing/2014/main" id="{F9D1EC47-B5EA-4B70-84F0-4EE33445D1D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221</xdr:row>
      <xdr:rowOff>16328</xdr:rowOff>
    </xdr:from>
    <xdr:to>
      <xdr:col>1</xdr:col>
      <xdr:colOff>933957</xdr:colOff>
      <xdr:row>221</xdr:row>
      <xdr:rowOff>592328</xdr:rowOff>
    </xdr:to>
    <xdr:pic>
      <xdr:nvPicPr>
        <xdr:cNvPr id="1815" name="Picture 1814">
          <a:extLst>
            <a:ext uri="{FF2B5EF4-FFF2-40B4-BE49-F238E27FC236}">
              <a16:creationId xmlns:a16="http://schemas.microsoft.com/office/drawing/2014/main" id="{BE32E8F3-6213-4CDD-A54A-2419BC95A08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222</xdr:row>
      <xdr:rowOff>16328</xdr:rowOff>
    </xdr:from>
    <xdr:to>
      <xdr:col>1</xdr:col>
      <xdr:colOff>933957</xdr:colOff>
      <xdr:row>222</xdr:row>
      <xdr:rowOff>592328</xdr:rowOff>
    </xdr:to>
    <xdr:pic>
      <xdr:nvPicPr>
        <xdr:cNvPr id="1816" name="Picture 1815">
          <a:extLst>
            <a:ext uri="{FF2B5EF4-FFF2-40B4-BE49-F238E27FC236}">
              <a16:creationId xmlns:a16="http://schemas.microsoft.com/office/drawing/2014/main" id="{1907EF23-2272-4E95-9953-2BBE49D528F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223</xdr:row>
      <xdr:rowOff>16328</xdr:rowOff>
    </xdr:from>
    <xdr:to>
      <xdr:col>1</xdr:col>
      <xdr:colOff>933957</xdr:colOff>
      <xdr:row>223</xdr:row>
      <xdr:rowOff>592328</xdr:rowOff>
    </xdr:to>
    <xdr:pic>
      <xdr:nvPicPr>
        <xdr:cNvPr id="1817" name="Picture 1816">
          <a:extLst>
            <a:ext uri="{FF2B5EF4-FFF2-40B4-BE49-F238E27FC236}">
              <a16:creationId xmlns:a16="http://schemas.microsoft.com/office/drawing/2014/main" id="{034F537F-4EAE-46D6-935A-5135B2C310F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224</xdr:row>
      <xdr:rowOff>16328</xdr:rowOff>
    </xdr:from>
    <xdr:to>
      <xdr:col>1</xdr:col>
      <xdr:colOff>933957</xdr:colOff>
      <xdr:row>224</xdr:row>
      <xdr:rowOff>592328</xdr:rowOff>
    </xdr:to>
    <xdr:pic>
      <xdr:nvPicPr>
        <xdr:cNvPr id="1818" name="Picture 1817">
          <a:extLst>
            <a:ext uri="{FF2B5EF4-FFF2-40B4-BE49-F238E27FC236}">
              <a16:creationId xmlns:a16="http://schemas.microsoft.com/office/drawing/2014/main" id="{3CBD9601-0044-464D-9773-31A4566FBAA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225</xdr:row>
      <xdr:rowOff>16328</xdr:rowOff>
    </xdr:from>
    <xdr:to>
      <xdr:col>1</xdr:col>
      <xdr:colOff>933957</xdr:colOff>
      <xdr:row>225</xdr:row>
      <xdr:rowOff>592328</xdr:rowOff>
    </xdr:to>
    <xdr:pic>
      <xdr:nvPicPr>
        <xdr:cNvPr id="1819" name="Picture 1818">
          <a:extLst>
            <a:ext uri="{FF2B5EF4-FFF2-40B4-BE49-F238E27FC236}">
              <a16:creationId xmlns:a16="http://schemas.microsoft.com/office/drawing/2014/main" id="{4ED2D143-0D03-42FB-BF37-1CFA3ACAABD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358776</xdr:colOff>
      <xdr:row>226</xdr:row>
      <xdr:rowOff>16328</xdr:rowOff>
    </xdr:from>
    <xdr:to>
      <xdr:col>1</xdr:col>
      <xdr:colOff>933957</xdr:colOff>
      <xdr:row>226</xdr:row>
      <xdr:rowOff>592328</xdr:rowOff>
    </xdr:to>
    <xdr:pic>
      <xdr:nvPicPr>
        <xdr:cNvPr id="1820" name="Picture 1819">
          <a:extLst>
            <a:ext uri="{FF2B5EF4-FFF2-40B4-BE49-F238E27FC236}">
              <a16:creationId xmlns:a16="http://schemas.microsoft.com/office/drawing/2014/main" id="{D9B1B784-5A26-44F2-B281-13A1C3A522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25254070"/>
          <a:ext cx="575181" cy="576000"/>
        </a:xfrm>
        <a:prstGeom prst="rect">
          <a:avLst/>
        </a:prstGeom>
      </xdr:spPr>
    </xdr:pic>
    <xdr:clientData/>
  </xdr:twoCellAnchor>
  <xdr:twoCellAnchor>
    <xdr:from>
      <xdr:col>1</xdr:col>
      <xdr:colOff>363698</xdr:colOff>
      <xdr:row>228</xdr:row>
      <xdr:rowOff>17690</xdr:rowOff>
    </xdr:from>
    <xdr:to>
      <xdr:col>1</xdr:col>
      <xdr:colOff>939698</xdr:colOff>
      <xdr:row>228</xdr:row>
      <xdr:rowOff>593690</xdr:rowOff>
    </xdr:to>
    <xdr:pic>
      <xdr:nvPicPr>
        <xdr:cNvPr id="1821" name="Picture 1820">
          <a:extLst>
            <a:ext uri="{FF2B5EF4-FFF2-40B4-BE49-F238E27FC236}">
              <a16:creationId xmlns:a16="http://schemas.microsoft.com/office/drawing/2014/main" id="{7E11F417-314C-4CEE-BB34-9CA6375F9872}"/>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229</xdr:row>
      <xdr:rowOff>17690</xdr:rowOff>
    </xdr:from>
    <xdr:to>
      <xdr:col>1</xdr:col>
      <xdr:colOff>939698</xdr:colOff>
      <xdr:row>229</xdr:row>
      <xdr:rowOff>593690</xdr:rowOff>
    </xdr:to>
    <xdr:pic>
      <xdr:nvPicPr>
        <xdr:cNvPr id="1822" name="Picture 1821">
          <a:extLst>
            <a:ext uri="{FF2B5EF4-FFF2-40B4-BE49-F238E27FC236}">
              <a16:creationId xmlns:a16="http://schemas.microsoft.com/office/drawing/2014/main" id="{97DDD12E-1A03-44B9-9C6F-193704F67FD4}"/>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230</xdr:row>
      <xdr:rowOff>17690</xdr:rowOff>
    </xdr:from>
    <xdr:to>
      <xdr:col>1</xdr:col>
      <xdr:colOff>939698</xdr:colOff>
      <xdr:row>230</xdr:row>
      <xdr:rowOff>593690</xdr:rowOff>
    </xdr:to>
    <xdr:pic>
      <xdr:nvPicPr>
        <xdr:cNvPr id="1823" name="Picture 1822">
          <a:extLst>
            <a:ext uri="{FF2B5EF4-FFF2-40B4-BE49-F238E27FC236}">
              <a16:creationId xmlns:a16="http://schemas.microsoft.com/office/drawing/2014/main" id="{17E1DDDA-C05E-4637-ADD8-AF3B0777C71E}"/>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231</xdr:row>
      <xdr:rowOff>17690</xdr:rowOff>
    </xdr:from>
    <xdr:to>
      <xdr:col>1</xdr:col>
      <xdr:colOff>939698</xdr:colOff>
      <xdr:row>231</xdr:row>
      <xdr:rowOff>593690</xdr:rowOff>
    </xdr:to>
    <xdr:pic>
      <xdr:nvPicPr>
        <xdr:cNvPr id="1824" name="Picture 1823">
          <a:extLst>
            <a:ext uri="{FF2B5EF4-FFF2-40B4-BE49-F238E27FC236}">
              <a16:creationId xmlns:a16="http://schemas.microsoft.com/office/drawing/2014/main" id="{2CF027FF-18AE-4754-8031-66398E7202B1}"/>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232</xdr:row>
      <xdr:rowOff>17690</xdr:rowOff>
    </xdr:from>
    <xdr:to>
      <xdr:col>1</xdr:col>
      <xdr:colOff>939698</xdr:colOff>
      <xdr:row>232</xdr:row>
      <xdr:rowOff>593690</xdr:rowOff>
    </xdr:to>
    <xdr:pic>
      <xdr:nvPicPr>
        <xdr:cNvPr id="1825" name="Picture 1824">
          <a:extLst>
            <a:ext uri="{FF2B5EF4-FFF2-40B4-BE49-F238E27FC236}">
              <a16:creationId xmlns:a16="http://schemas.microsoft.com/office/drawing/2014/main" id="{E5C30B8C-53B3-4473-BBC9-5A072E76AAC1}"/>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233</xdr:row>
      <xdr:rowOff>17690</xdr:rowOff>
    </xdr:from>
    <xdr:to>
      <xdr:col>1</xdr:col>
      <xdr:colOff>939698</xdr:colOff>
      <xdr:row>233</xdr:row>
      <xdr:rowOff>593690</xdr:rowOff>
    </xdr:to>
    <xdr:pic>
      <xdr:nvPicPr>
        <xdr:cNvPr id="1826" name="Picture 1825">
          <a:extLst>
            <a:ext uri="{FF2B5EF4-FFF2-40B4-BE49-F238E27FC236}">
              <a16:creationId xmlns:a16="http://schemas.microsoft.com/office/drawing/2014/main" id="{EE678390-CC96-49A0-9C99-56E2442410F0}"/>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234</xdr:row>
      <xdr:rowOff>17690</xdr:rowOff>
    </xdr:from>
    <xdr:to>
      <xdr:col>1</xdr:col>
      <xdr:colOff>939698</xdr:colOff>
      <xdr:row>234</xdr:row>
      <xdr:rowOff>593690</xdr:rowOff>
    </xdr:to>
    <xdr:pic>
      <xdr:nvPicPr>
        <xdr:cNvPr id="1827" name="Picture 1826">
          <a:extLst>
            <a:ext uri="{FF2B5EF4-FFF2-40B4-BE49-F238E27FC236}">
              <a16:creationId xmlns:a16="http://schemas.microsoft.com/office/drawing/2014/main" id="{EA098E00-6243-42B1-9BA8-B63D553BBA83}"/>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235</xdr:row>
      <xdr:rowOff>17690</xdr:rowOff>
    </xdr:from>
    <xdr:to>
      <xdr:col>1</xdr:col>
      <xdr:colOff>939698</xdr:colOff>
      <xdr:row>235</xdr:row>
      <xdr:rowOff>593690</xdr:rowOff>
    </xdr:to>
    <xdr:pic>
      <xdr:nvPicPr>
        <xdr:cNvPr id="1828" name="Picture 1827">
          <a:extLst>
            <a:ext uri="{FF2B5EF4-FFF2-40B4-BE49-F238E27FC236}">
              <a16:creationId xmlns:a16="http://schemas.microsoft.com/office/drawing/2014/main" id="{F7885B95-8DEA-4FEE-80A8-BE7A3FA20332}"/>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236</xdr:row>
      <xdr:rowOff>17690</xdr:rowOff>
    </xdr:from>
    <xdr:to>
      <xdr:col>1</xdr:col>
      <xdr:colOff>939698</xdr:colOff>
      <xdr:row>236</xdr:row>
      <xdr:rowOff>593690</xdr:rowOff>
    </xdr:to>
    <xdr:pic>
      <xdr:nvPicPr>
        <xdr:cNvPr id="1829" name="Picture 1828">
          <a:extLst>
            <a:ext uri="{FF2B5EF4-FFF2-40B4-BE49-F238E27FC236}">
              <a16:creationId xmlns:a16="http://schemas.microsoft.com/office/drawing/2014/main" id="{B78423B3-CC7A-47FD-BDF8-8EF685440CF8}"/>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237</xdr:row>
      <xdr:rowOff>17690</xdr:rowOff>
    </xdr:from>
    <xdr:to>
      <xdr:col>1</xdr:col>
      <xdr:colOff>939698</xdr:colOff>
      <xdr:row>237</xdr:row>
      <xdr:rowOff>593690</xdr:rowOff>
    </xdr:to>
    <xdr:pic>
      <xdr:nvPicPr>
        <xdr:cNvPr id="1830" name="Picture 1829">
          <a:extLst>
            <a:ext uri="{FF2B5EF4-FFF2-40B4-BE49-F238E27FC236}">
              <a16:creationId xmlns:a16="http://schemas.microsoft.com/office/drawing/2014/main" id="{3E90290C-980D-4468-9ED9-FEB8B5A9E29B}"/>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238</xdr:row>
      <xdr:rowOff>17690</xdr:rowOff>
    </xdr:from>
    <xdr:to>
      <xdr:col>1</xdr:col>
      <xdr:colOff>939698</xdr:colOff>
      <xdr:row>238</xdr:row>
      <xdr:rowOff>593690</xdr:rowOff>
    </xdr:to>
    <xdr:pic>
      <xdr:nvPicPr>
        <xdr:cNvPr id="1831" name="Picture 1830">
          <a:extLst>
            <a:ext uri="{FF2B5EF4-FFF2-40B4-BE49-F238E27FC236}">
              <a16:creationId xmlns:a16="http://schemas.microsoft.com/office/drawing/2014/main" id="{E8A703CD-F9F8-4618-8E46-6BF551C71C12}"/>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239</xdr:row>
      <xdr:rowOff>17690</xdr:rowOff>
    </xdr:from>
    <xdr:to>
      <xdr:col>1</xdr:col>
      <xdr:colOff>939698</xdr:colOff>
      <xdr:row>239</xdr:row>
      <xdr:rowOff>593690</xdr:rowOff>
    </xdr:to>
    <xdr:pic>
      <xdr:nvPicPr>
        <xdr:cNvPr id="1832" name="Picture 1831">
          <a:extLst>
            <a:ext uri="{FF2B5EF4-FFF2-40B4-BE49-F238E27FC236}">
              <a16:creationId xmlns:a16="http://schemas.microsoft.com/office/drawing/2014/main" id="{0E8030D6-BF90-4E64-ADE1-1F0DDDCCA879}"/>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240</xdr:row>
      <xdr:rowOff>17690</xdr:rowOff>
    </xdr:from>
    <xdr:to>
      <xdr:col>1</xdr:col>
      <xdr:colOff>939698</xdr:colOff>
      <xdr:row>240</xdr:row>
      <xdr:rowOff>593690</xdr:rowOff>
    </xdr:to>
    <xdr:pic>
      <xdr:nvPicPr>
        <xdr:cNvPr id="1833" name="Picture 1832">
          <a:extLst>
            <a:ext uri="{FF2B5EF4-FFF2-40B4-BE49-F238E27FC236}">
              <a16:creationId xmlns:a16="http://schemas.microsoft.com/office/drawing/2014/main" id="{E0860B21-05C2-44DE-91F9-67A9974AA314}"/>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241</xdr:row>
      <xdr:rowOff>17690</xdr:rowOff>
    </xdr:from>
    <xdr:to>
      <xdr:col>1</xdr:col>
      <xdr:colOff>939698</xdr:colOff>
      <xdr:row>241</xdr:row>
      <xdr:rowOff>593690</xdr:rowOff>
    </xdr:to>
    <xdr:pic>
      <xdr:nvPicPr>
        <xdr:cNvPr id="1834" name="Picture 1833">
          <a:extLst>
            <a:ext uri="{FF2B5EF4-FFF2-40B4-BE49-F238E27FC236}">
              <a16:creationId xmlns:a16="http://schemas.microsoft.com/office/drawing/2014/main" id="{F26F3E5F-752F-4E04-8721-EA440258B1C1}"/>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242</xdr:row>
      <xdr:rowOff>17690</xdr:rowOff>
    </xdr:from>
    <xdr:to>
      <xdr:col>1</xdr:col>
      <xdr:colOff>939698</xdr:colOff>
      <xdr:row>242</xdr:row>
      <xdr:rowOff>593690</xdr:rowOff>
    </xdr:to>
    <xdr:pic>
      <xdr:nvPicPr>
        <xdr:cNvPr id="1835" name="Picture 1834">
          <a:extLst>
            <a:ext uri="{FF2B5EF4-FFF2-40B4-BE49-F238E27FC236}">
              <a16:creationId xmlns:a16="http://schemas.microsoft.com/office/drawing/2014/main" id="{5A365BA7-01A3-4823-AB95-0AA10AA8097D}"/>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243</xdr:row>
      <xdr:rowOff>17690</xdr:rowOff>
    </xdr:from>
    <xdr:to>
      <xdr:col>1</xdr:col>
      <xdr:colOff>939698</xdr:colOff>
      <xdr:row>243</xdr:row>
      <xdr:rowOff>593690</xdr:rowOff>
    </xdr:to>
    <xdr:pic>
      <xdr:nvPicPr>
        <xdr:cNvPr id="1836" name="Picture 1835">
          <a:extLst>
            <a:ext uri="{FF2B5EF4-FFF2-40B4-BE49-F238E27FC236}">
              <a16:creationId xmlns:a16="http://schemas.microsoft.com/office/drawing/2014/main" id="{5D2F8437-5B08-4913-914E-E16911992A48}"/>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244</xdr:row>
      <xdr:rowOff>17690</xdr:rowOff>
    </xdr:from>
    <xdr:to>
      <xdr:col>1</xdr:col>
      <xdr:colOff>939698</xdr:colOff>
      <xdr:row>244</xdr:row>
      <xdr:rowOff>593690</xdr:rowOff>
    </xdr:to>
    <xdr:pic>
      <xdr:nvPicPr>
        <xdr:cNvPr id="1837" name="Picture 1836">
          <a:extLst>
            <a:ext uri="{FF2B5EF4-FFF2-40B4-BE49-F238E27FC236}">
              <a16:creationId xmlns:a16="http://schemas.microsoft.com/office/drawing/2014/main" id="{1D821A5F-350C-4108-9D2C-4C4F21FBE0BF}"/>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245</xdr:row>
      <xdr:rowOff>17690</xdr:rowOff>
    </xdr:from>
    <xdr:to>
      <xdr:col>1</xdr:col>
      <xdr:colOff>939698</xdr:colOff>
      <xdr:row>245</xdr:row>
      <xdr:rowOff>593690</xdr:rowOff>
    </xdr:to>
    <xdr:pic>
      <xdr:nvPicPr>
        <xdr:cNvPr id="1838" name="Picture 1837">
          <a:extLst>
            <a:ext uri="{FF2B5EF4-FFF2-40B4-BE49-F238E27FC236}">
              <a16:creationId xmlns:a16="http://schemas.microsoft.com/office/drawing/2014/main" id="{34ABDE9D-4A67-4B58-B2B2-46A8D6A9FCBF}"/>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246</xdr:row>
      <xdr:rowOff>17690</xdr:rowOff>
    </xdr:from>
    <xdr:to>
      <xdr:col>1</xdr:col>
      <xdr:colOff>939698</xdr:colOff>
      <xdr:row>246</xdr:row>
      <xdr:rowOff>593690</xdr:rowOff>
    </xdr:to>
    <xdr:pic>
      <xdr:nvPicPr>
        <xdr:cNvPr id="1839" name="Picture 1838">
          <a:extLst>
            <a:ext uri="{FF2B5EF4-FFF2-40B4-BE49-F238E27FC236}">
              <a16:creationId xmlns:a16="http://schemas.microsoft.com/office/drawing/2014/main" id="{B12D5858-9B5A-4FBA-92D5-56AD30A3BF93}"/>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247</xdr:row>
      <xdr:rowOff>17690</xdr:rowOff>
    </xdr:from>
    <xdr:to>
      <xdr:col>1</xdr:col>
      <xdr:colOff>939698</xdr:colOff>
      <xdr:row>247</xdr:row>
      <xdr:rowOff>593690</xdr:rowOff>
    </xdr:to>
    <xdr:pic>
      <xdr:nvPicPr>
        <xdr:cNvPr id="1840" name="Picture 1839">
          <a:extLst>
            <a:ext uri="{FF2B5EF4-FFF2-40B4-BE49-F238E27FC236}">
              <a16:creationId xmlns:a16="http://schemas.microsoft.com/office/drawing/2014/main" id="{143A763C-0CA4-4F94-9E4D-7DA25714E296}"/>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248</xdr:row>
      <xdr:rowOff>17690</xdr:rowOff>
    </xdr:from>
    <xdr:to>
      <xdr:col>1</xdr:col>
      <xdr:colOff>939698</xdr:colOff>
      <xdr:row>248</xdr:row>
      <xdr:rowOff>593690</xdr:rowOff>
    </xdr:to>
    <xdr:pic>
      <xdr:nvPicPr>
        <xdr:cNvPr id="1841" name="Picture 1840">
          <a:extLst>
            <a:ext uri="{FF2B5EF4-FFF2-40B4-BE49-F238E27FC236}">
              <a16:creationId xmlns:a16="http://schemas.microsoft.com/office/drawing/2014/main" id="{60535B5F-781A-41F4-802A-023FEDF34D5D}"/>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249</xdr:row>
      <xdr:rowOff>17690</xdr:rowOff>
    </xdr:from>
    <xdr:to>
      <xdr:col>1</xdr:col>
      <xdr:colOff>939698</xdr:colOff>
      <xdr:row>249</xdr:row>
      <xdr:rowOff>593690</xdr:rowOff>
    </xdr:to>
    <xdr:pic>
      <xdr:nvPicPr>
        <xdr:cNvPr id="1842" name="Picture 1841">
          <a:extLst>
            <a:ext uri="{FF2B5EF4-FFF2-40B4-BE49-F238E27FC236}">
              <a16:creationId xmlns:a16="http://schemas.microsoft.com/office/drawing/2014/main" id="{ECDB8F1B-1FC8-4279-91DE-FFCF67DB0446}"/>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250</xdr:row>
      <xdr:rowOff>17690</xdr:rowOff>
    </xdr:from>
    <xdr:to>
      <xdr:col>1</xdr:col>
      <xdr:colOff>939698</xdr:colOff>
      <xdr:row>250</xdr:row>
      <xdr:rowOff>593690</xdr:rowOff>
    </xdr:to>
    <xdr:pic>
      <xdr:nvPicPr>
        <xdr:cNvPr id="1843" name="Picture 1842">
          <a:extLst>
            <a:ext uri="{FF2B5EF4-FFF2-40B4-BE49-F238E27FC236}">
              <a16:creationId xmlns:a16="http://schemas.microsoft.com/office/drawing/2014/main" id="{017D19D8-55EE-4C30-A18C-715055A02EF5}"/>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251</xdr:row>
      <xdr:rowOff>17690</xdr:rowOff>
    </xdr:from>
    <xdr:to>
      <xdr:col>1</xdr:col>
      <xdr:colOff>939698</xdr:colOff>
      <xdr:row>251</xdr:row>
      <xdr:rowOff>593690</xdr:rowOff>
    </xdr:to>
    <xdr:pic>
      <xdr:nvPicPr>
        <xdr:cNvPr id="1844" name="Picture 1843">
          <a:extLst>
            <a:ext uri="{FF2B5EF4-FFF2-40B4-BE49-F238E27FC236}">
              <a16:creationId xmlns:a16="http://schemas.microsoft.com/office/drawing/2014/main" id="{8A5199F3-05C4-45FC-AE19-EC875B7B169A}"/>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252</xdr:row>
      <xdr:rowOff>17690</xdr:rowOff>
    </xdr:from>
    <xdr:to>
      <xdr:col>1</xdr:col>
      <xdr:colOff>939698</xdr:colOff>
      <xdr:row>252</xdr:row>
      <xdr:rowOff>593690</xdr:rowOff>
    </xdr:to>
    <xdr:pic>
      <xdr:nvPicPr>
        <xdr:cNvPr id="1845" name="Picture 1844">
          <a:extLst>
            <a:ext uri="{FF2B5EF4-FFF2-40B4-BE49-F238E27FC236}">
              <a16:creationId xmlns:a16="http://schemas.microsoft.com/office/drawing/2014/main" id="{BE5B1EFF-92B3-4B99-9584-55DF2F1E734D}"/>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253</xdr:row>
      <xdr:rowOff>17690</xdr:rowOff>
    </xdr:from>
    <xdr:to>
      <xdr:col>1</xdr:col>
      <xdr:colOff>939698</xdr:colOff>
      <xdr:row>253</xdr:row>
      <xdr:rowOff>593690</xdr:rowOff>
    </xdr:to>
    <xdr:pic>
      <xdr:nvPicPr>
        <xdr:cNvPr id="1846" name="Picture 1845">
          <a:extLst>
            <a:ext uri="{FF2B5EF4-FFF2-40B4-BE49-F238E27FC236}">
              <a16:creationId xmlns:a16="http://schemas.microsoft.com/office/drawing/2014/main" id="{D606C1F2-3202-4D9B-B2D4-393EC99E5E03}"/>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363698</xdr:colOff>
      <xdr:row>254</xdr:row>
      <xdr:rowOff>17690</xdr:rowOff>
    </xdr:from>
    <xdr:to>
      <xdr:col>1</xdr:col>
      <xdr:colOff>939698</xdr:colOff>
      <xdr:row>254</xdr:row>
      <xdr:rowOff>593690</xdr:rowOff>
    </xdr:to>
    <xdr:pic>
      <xdr:nvPicPr>
        <xdr:cNvPr id="1847" name="Picture 1846">
          <a:extLst>
            <a:ext uri="{FF2B5EF4-FFF2-40B4-BE49-F238E27FC236}">
              <a16:creationId xmlns:a16="http://schemas.microsoft.com/office/drawing/2014/main" id="{546FB7F6-6781-4C6A-9EC1-5C3DDB6C0FFE}"/>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1</xdr:col>
      <xdr:colOff>366796</xdr:colOff>
      <xdr:row>256</xdr:row>
      <xdr:rowOff>22676</xdr:rowOff>
    </xdr:from>
    <xdr:to>
      <xdr:col>1</xdr:col>
      <xdr:colOff>942796</xdr:colOff>
      <xdr:row>256</xdr:row>
      <xdr:rowOff>598676</xdr:rowOff>
    </xdr:to>
    <xdr:pic>
      <xdr:nvPicPr>
        <xdr:cNvPr id="1848" name="Picture 1847">
          <a:extLst>
            <a:ext uri="{FF2B5EF4-FFF2-40B4-BE49-F238E27FC236}">
              <a16:creationId xmlns:a16="http://schemas.microsoft.com/office/drawing/2014/main" id="{C8807178-1DCE-4B3F-B802-A2334BFF9D37}"/>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366796</xdr:colOff>
      <xdr:row>257</xdr:row>
      <xdr:rowOff>22676</xdr:rowOff>
    </xdr:from>
    <xdr:to>
      <xdr:col>1</xdr:col>
      <xdr:colOff>942796</xdr:colOff>
      <xdr:row>257</xdr:row>
      <xdr:rowOff>598676</xdr:rowOff>
    </xdr:to>
    <xdr:pic>
      <xdr:nvPicPr>
        <xdr:cNvPr id="1849" name="Picture 1848">
          <a:extLst>
            <a:ext uri="{FF2B5EF4-FFF2-40B4-BE49-F238E27FC236}">
              <a16:creationId xmlns:a16="http://schemas.microsoft.com/office/drawing/2014/main" id="{17236414-0DFD-4CE0-9309-005BE8556DE2}"/>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366796</xdr:colOff>
      <xdr:row>258</xdr:row>
      <xdr:rowOff>22676</xdr:rowOff>
    </xdr:from>
    <xdr:to>
      <xdr:col>1</xdr:col>
      <xdr:colOff>942796</xdr:colOff>
      <xdr:row>258</xdr:row>
      <xdr:rowOff>598676</xdr:rowOff>
    </xdr:to>
    <xdr:pic>
      <xdr:nvPicPr>
        <xdr:cNvPr id="1850" name="Picture 1849">
          <a:extLst>
            <a:ext uri="{FF2B5EF4-FFF2-40B4-BE49-F238E27FC236}">
              <a16:creationId xmlns:a16="http://schemas.microsoft.com/office/drawing/2014/main" id="{9F23B2CA-F163-4938-B95D-2AF91DF4DA6E}"/>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366796</xdr:colOff>
      <xdr:row>259</xdr:row>
      <xdr:rowOff>22676</xdr:rowOff>
    </xdr:from>
    <xdr:to>
      <xdr:col>1</xdr:col>
      <xdr:colOff>942796</xdr:colOff>
      <xdr:row>259</xdr:row>
      <xdr:rowOff>598676</xdr:rowOff>
    </xdr:to>
    <xdr:pic>
      <xdr:nvPicPr>
        <xdr:cNvPr id="1851" name="Picture 1850">
          <a:extLst>
            <a:ext uri="{FF2B5EF4-FFF2-40B4-BE49-F238E27FC236}">
              <a16:creationId xmlns:a16="http://schemas.microsoft.com/office/drawing/2014/main" id="{18D8D60F-A54C-4B6F-BB2E-CCE99BB90C71}"/>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366796</xdr:colOff>
      <xdr:row>260</xdr:row>
      <xdr:rowOff>22676</xdr:rowOff>
    </xdr:from>
    <xdr:to>
      <xdr:col>1</xdr:col>
      <xdr:colOff>942796</xdr:colOff>
      <xdr:row>260</xdr:row>
      <xdr:rowOff>598676</xdr:rowOff>
    </xdr:to>
    <xdr:pic>
      <xdr:nvPicPr>
        <xdr:cNvPr id="1852" name="Picture 1851">
          <a:extLst>
            <a:ext uri="{FF2B5EF4-FFF2-40B4-BE49-F238E27FC236}">
              <a16:creationId xmlns:a16="http://schemas.microsoft.com/office/drawing/2014/main" id="{0F0DD704-C9CE-4CDC-A457-D598372BE76B}"/>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366796</xdr:colOff>
      <xdr:row>261</xdr:row>
      <xdr:rowOff>22676</xdr:rowOff>
    </xdr:from>
    <xdr:to>
      <xdr:col>1</xdr:col>
      <xdr:colOff>942796</xdr:colOff>
      <xdr:row>261</xdr:row>
      <xdr:rowOff>598676</xdr:rowOff>
    </xdr:to>
    <xdr:pic>
      <xdr:nvPicPr>
        <xdr:cNvPr id="1853" name="Picture 1852">
          <a:extLst>
            <a:ext uri="{FF2B5EF4-FFF2-40B4-BE49-F238E27FC236}">
              <a16:creationId xmlns:a16="http://schemas.microsoft.com/office/drawing/2014/main" id="{9DF1B07E-BDDE-4628-9601-C4680E7F7399}"/>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366796</xdr:colOff>
      <xdr:row>262</xdr:row>
      <xdr:rowOff>22676</xdr:rowOff>
    </xdr:from>
    <xdr:to>
      <xdr:col>1</xdr:col>
      <xdr:colOff>942796</xdr:colOff>
      <xdr:row>262</xdr:row>
      <xdr:rowOff>598676</xdr:rowOff>
    </xdr:to>
    <xdr:pic>
      <xdr:nvPicPr>
        <xdr:cNvPr id="1854" name="Picture 1853">
          <a:extLst>
            <a:ext uri="{FF2B5EF4-FFF2-40B4-BE49-F238E27FC236}">
              <a16:creationId xmlns:a16="http://schemas.microsoft.com/office/drawing/2014/main" id="{7C3431AE-573F-4CFC-AEC7-A8F01AC2F6F0}"/>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366796</xdr:colOff>
      <xdr:row>263</xdr:row>
      <xdr:rowOff>22676</xdr:rowOff>
    </xdr:from>
    <xdr:to>
      <xdr:col>1</xdr:col>
      <xdr:colOff>942796</xdr:colOff>
      <xdr:row>263</xdr:row>
      <xdr:rowOff>598676</xdr:rowOff>
    </xdr:to>
    <xdr:pic>
      <xdr:nvPicPr>
        <xdr:cNvPr id="1855" name="Picture 1854">
          <a:extLst>
            <a:ext uri="{FF2B5EF4-FFF2-40B4-BE49-F238E27FC236}">
              <a16:creationId xmlns:a16="http://schemas.microsoft.com/office/drawing/2014/main" id="{326AA9C1-9630-4C83-8436-BEAD2C206203}"/>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366796</xdr:colOff>
      <xdr:row>264</xdr:row>
      <xdr:rowOff>22676</xdr:rowOff>
    </xdr:from>
    <xdr:to>
      <xdr:col>1</xdr:col>
      <xdr:colOff>942796</xdr:colOff>
      <xdr:row>264</xdr:row>
      <xdr:rowOff>598676</xdr:rowOff>
    </xdr:to>
    <xdr:pic>
      <xdr:nvPicPr>
        <xdr:cNvPr id="1856" name="Picture 1855">
          <a:extLst>
            <a:ext uri="{FF2B5EF4-FFF2-40B4-BE49-F238E27FC236}">
              <a16:creationId xmlns:a16="http://schemas.microsoft.com/office/drawing/2014/main" id="{F2AADC5B-40E8-4308-9D16-906EE7C369B0}"/>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2026468"/>
          <a:ext cx="576000" cy="576000"/>
        </a:xfrm>
        <a:prstGeom prst="rect">
          <a:avLst/>
        </a:prstGeom>
        <a:noFill/>
      </xdr:spPr>
    </xdr:pic>
    <xdr:clientData/>
  </xdr:twoCellAnchor>
  <xdr:twoCellAnchor>
    <xdr:from>
      <xdr:col>1</xdr:col>
      <xdr:colOff>376921</xdr:colOff>
      <xdr:row>266</xdr:row>
      <xdr:rowOff>12108</xdr:rowOff>
    </xdr:from>
    <xdr:to>
      <xdr:col>1</xdr:col>
      <xdr:colOff>951993</xdr:colOff>
      <xdr:row>266</xdr:row>
      <xdr:rowOff>588108</xdr:rowOff>
    </xdr:to>
    <xdr:pic>
      <xdr:nvPicPr>
        <xdr:cNvPr id="1857" name="Picture 1856">
          <a:extLst>
            <a:ext uri="{FF2B5EF4-FFF2-40B4-BE49-F238E27FC236}">
              <a16:creationId xmlns:a16="http://schemas.microsoft.com/office/drawing/2014/main" id="{99EFA2DA-CB2A-4161-856B-9C8D1A6D1017}"/>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267</xdr:row>
      <xdr:rowOff>12108</xdr:rowOff>
    </xdr:from>
    <xdr:to>
      <xdr:col>1</xdr:col>
      <xdr:colOff>951993</xdr:colOff>
      <xdr:row>267</xdr:row>
      <xdr:rowOff>588108</xdr:rowOff>
    </xdr:to>
    <xdr:pic>
      <xdr:nvPicPr>
        <xdr:cNvPr id="1858" name="Picture 1857">
          <a:extLst>
            <a:ext uri="{FF2B5EF4-FFF2-40B4-BE49-F238E27FC236}">
              <a16:creationId xmlns:a16="http://schemas.microsoft.com/office/drawing/2014/main" id="{AA8440F8-08BE-42A2-9B5E-75328534AF1C}"/>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268</xdr:row>
      <xdr:rowOff>12108</xdr:rowOff>
    </xdr:from>
    <xdr:to>
      <xdr:col>1</xdr:col>
      <xdr:colOff>951993</xdr:colOff>
      <xdr:row>268</xdr:row>
      <xdr:rowOff>588108</xdr:rowOff>
    </xdr:to>
    <xdr:pic>
      <xdr:nvPicPr>
        <xdr:cNvPr id="1859" name="Picture 1858">
          <a:extLst>
            <a:ext uri="{FF2B5EF4-FFF2-40B4-BE49-F238E27FC236}">
              <a16:creationId xmlns:a16="http://schemas.microsoft.com/office/drawing/2014/main" id="{9C063ED3-1B8B-418A-87F8-61992B7F8CDF}"/>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269</xdr:row>
      <xdr:rowOff>12108</xdr:rowOff>
    </xdr:from>
    <xdr:to>
      <xdr:col>1</xdr:col>
      <xdr:colOff>951993</xdr:colOff>
      <xdr:row>269</xdr:row>
      <xdr:rowOff>588108</xdr:rowOff>
    </xdr:to>
    <xdr:pic>
      <xdr:nvPicPr>
        <xdr:cNvPr id="1860" name="Picture 1859">
          <a:extLst>
            <a:ext uri="{FF2B5EF4-FFF2-40B4-BE49-F238E27FC236}">
              <a16:creationId xmlns:a16="http://schemas.microsoft.com/office/drawing/2014/main" id="{3CEC94EC-554E-4535-A2F1-4977CEEFB695}"/>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270</xdr:row>
      <xdr:rowOff>12108</xdr:rowOff>
    </xdr:from>
    <xdr:to>
      <xdr:col>1</xdr:col>
      <xdr:colOff>951993</xdr:colOff>
      <xdr:row>270</xdr:row>
      <xdr:rowOff>588108</xdr:rowOff>
    </xdr:to>
    <xdr:pic>
      <xdr:nvPicPr>
        <xdr:cNvPr id="1861" name="Picture 1860">
          <a:extLst>
            <a:ext uri="{FF2B5EF4-FFF2-40B4-BE49-F238E27FC236}">
              <a16:creationId xmlns:a16="http://schemas.microsoft.com/office/drawing/2014/main" id="{8298D16B-0F54-4598-8823-2A3A282DA588}"/>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271</xdr:row>
      <xdr:rowOff>12108</xdr:rowOff>
    </xdr:from>
    <xdr:to>
      <xdr:col>1</xdr:col>
      <xdr:colOff>951993</xdr:colOff>
      <xdr:row>271</xdr:row>
      <xdr:rowOff>588108</xdr:rowOff>
    </xdr:to>
    <xdr:pic>
      <xdr:nvPicPr>
        <xdr:cNvPr id="1862" name="Picture 1861">
          <a:extLst>
            <a:ext uri="{FF2B5EF4-FFF2-40B4-BE49-F238E27FC236}">
              <a16:creationId xmlns:a16="http://schemas.microsoft.com/office/drawing/2014/main" id="{4D94360F-65C1-41B2-99B2-4BDF2989CFC9}"/>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272</xdr:row>
      <xdr:rowOff>12108</xdr:rowOff>
    </xdr:from>
    <xdr:to>
      <xdr:col>1</xdr:col>
      <xdr:colOff>951993</xdr:colOff>
      <xdr:row>272</xdr:row>
      <xdr:rowOff>588108</xdr:rowOff>
    </xdr:to>
    <xdr:pic>
      <xdr:nvPicPr>
        <xdr:cNvPr id="1863" name="Picture 1862">
          <a:extLst>
            <a:ext uri="{FF2B5EF4-FFF2-40B4-BE49-F238E27FC236}">
              <a16:creationId xmlns:a16="http://schemas.microsoft.com/office/drawing/2014/main" id="{6564E964-EF3C-4657-ADDA-110241B75AE6}"/>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273</xdr:row>
      <xdr:rowOff>12108</xdr:rowOff>
    </xdr:from>
    <xdr:to>
      <xdr:col>1</xdr:col>
      <xdr:colOff>951993</xdr:colOff>
      <xdr:row>273</xdr:row>
      <xdr:rowOff>588108</xdr:rowOff>
    </xdr:to>
    <xdr:pic>
      <xdr:nvPicPr>
        <xdr:cNvPr id="1864" name="Picture 1863">
          <a:extLst>
            <a:ext uri="{FF2B5EF4-FFF2-40B4-BE49-F238E27FC236}">
              <a16:creationId xmlns:a16="http://schemas.microsoft.com/office/drawing/2014/main" id="{1E38B89A-C42E-4DB6-85FB-C5F72F13595C}"/>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274</xdr:row>
      <xdr:rowOff>12108</xdr:rowOff>
    </xdr:from>
    <xdr:to>
      <xdr:col>1</xdr:col>
      <xdr:colOff>951993</xdr:colOff>
      <xdr:row>274</xdr:row>
      <xdr:rowOff>588108</xdr:rowOff>
    </xdr:to>
    <xdr:pic>
      <xdr:nvPicPr>
        <xdr:cNvPr id="1865" name="Picture 1864">
          <a:extLst>
            <a:ext uri="{FF2B5EF4-FFF2-40B4-BE49-F238E27FC236}">
              <a16:creationId xmlns:a16="http://schemas.microsoft.com/office/drawing/2014/main" id="{4C634E29-8C01-4BB0-8FD7-FD9080504DA9}"/>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275</xdr:row>
      <xdr:rowOff>12108</xdr:rowOff>
    </xdr:from>
    <xdr:to>
      <xdr:col>1</xdr:col>
      <xdr:colOff>951993</xdr:colOff>
      <xdr:row>275</xdr:row>
      <xdr:rowOff>588108</xdr:rowOff>
    </xdr:to>
    <xdr:pic>
      <xdr:nvPicPr>
        <xdr:cNvPr id="1866" name="Picture 1865">
          <a:extLst>
            <a:ext uri="{FF2B5EF4-FFF2-40B4-BE49-F238E27FC236}">
              <a16:creationId xmlns:a16="http://schemas.microsoft.com/office/drawing/2014/main" id="{F18FC51C-40A4-4987-AA67-04E76A44D432}"/>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276</xdr:row>
      <xdr:rowOff>12108</xdr:rowOff>
    </xdr:from>
    <xdr:to>
      <xdr:col>1</xdr:col>
      <xdr:colOff>951993</xdr:colOff>
      <xdr:row>276</xdr:row>
      <xdr:rowOff>588108</xdr:rowOff>
    </xdr:to>
    <xdr:pic>
      <xdr:nvPicPr>
        <xdr:cNvPr id="1867" name="Picture 1866">
          <a:extLst>
            <a:ext uri="{FF2B5EF4-FFF2-40B4-BE49-F238E27FC236}">
              <a16:creationId xmlns:a16="http://schemas.microsoft.com/office/drawing/2014/main" id="{D42B1C9F-B39D-4A50-9ABC-8041B5144A62}"/>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277</xdr:row>
      <xdr:rowOff>12108</xdr:rowOff>
    </xdr:from>
    <xdr:to>
      <xdr:col>1</xdr:col>
      <xdr:colOff>951993</xdr:colOff>
      <xdr:row>277</xdr:row>
      <xdr:rowOff>588108</xdr:rowOff>
    </xdr:to>
    <xdr:pic>
      <xdr:nvPicPr>
        <xdr:cNvPr id="1868" name="Picture 1867">
          <a:extLst>
            <a:ext uri="{FF2B5EF4-FFF2-40B4-BE49-F238E27FC236}">
              <a16:creationId xmlns:a16="http://schemas.microsoft.com/office/drawing/2014/main" id="{A7415D2A-E9EF-4853-8B4A-AEBE04DB1060}"/>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278</xdr:row>
      <xdr:rowOff>12108</xdr:rowOff>
    </xdr:from>
    <xdr:to>
      <xdr:col>1</xdr:col>
      <xdr:colOff>951993</xdr:colOff>
      <xdr:row>278</xdr:row>
      <xdr:rowOff>588108</xdr:rowOff>
    </xdr:to>
    <xdr:pic>
      <xdr:nvPicPr>
        <xdr:cNvPr id="1869" name="Picture 1868">
          <a:extLst>
            <a:ext uri="{FF2B5EF4-FFF2-40B4-BE49-F238E27FC236}">
              <a16:creationId xmlns:a16="http://schemas.microsoft.com/office/drawing/2014/main" id="{5F9E4CB7-EB3B-4F1D-80F2-548ED4674684}"/>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279</xdr:row>
      <xdr:rowOff>12108</xdr:rowOff>
    </xdr:from>
    <xdr:to>
      <xdr:col>1</xdr:col>
      <xdr:colOff>951993</xdr:colOff>
      <xdr:row>279</xdr:row>
      <xdr:rowOff>588108</xdr:rowOff>
    </xdr:to>
    <xdr:pic>
      <xdr:nvPicPr>
        <xdr:cNvPr id="1870" name="Picture 1869">
          <a:extLst>
            <a:ext uri="{FF2B5EF4-FFF2-40B4-BE49-F238E27FC236}">
              <a16:creationId xmlns:a16="http://schemas.microsoft.com/office/drawing/2014/main" id="{9D3E7C7E-BE71-426F-882E-2C4F9DD58683}"/>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280</xdr:row>
      <xdr:rowOff>12108</xdr:rowOff>
    </xdr:from>
    <xdr:to>
      <xdr:col>1</xdr:col>
      <xdr:colOff>951993</xdr:colOff>
      <xdr:row>280</xdr:row>
      <xdr:rowOff>588108</xdr:rowOff>
    </xdr:to>
    <xdr:pic>
      <xdr:nvPicPr>
        <xdr:cNvPr id="1871" name="Picture 1870">
          <a:extLst>
            <a:ext uri="{FF2B5EF4-FFF2-40B4-BE49-F238E27FC236}">
              <a16:creationId xmlns:a16="http://schemas.microsoft.com/office/drawing/2014/main" id="{2C1E4684-3EA2-4FDD-AE07-B4EE269B57CC}"/>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281</xdr:row>
      <xdr:rowOff>12108</xdr:rowOff>
    </xdr:from>
    <xdr:to>
      <xdr:col>1</xdr:col>
      <xdr:colOff>951993</xdr:colOff>
      <xdr:row>281</xdr:row>
      <xdr:rowOff>588108</xdr:rowOff>
    </xdr:to>
    <xdr:pic>
      <xdr:nvPicPr>
        <xdr:cNvPr id="1872" name="Picture 1871">
          <a:extLst>
            <a:ext uri="{FF2B5EF4-FFF2-40B4-BE49-F238E27FC236}">
              <a16:creationId xmlns:a16="http://schemas.microsoft.com/office/drawing/2014/main" id="{ADC0A33D-3C6F-42DA-8213-6F963ED84DF8}"/>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282</xdr:row>
      <xdr:rowOff>12108</xdr:rowOff>
    </xdr:from>
    <xdr:to>
      <xdr:col>1</xdr:col>
      <xdr:colOff>951993</xdr:colOff>
      <xdr:row>282</xdr:row>
      <xdr:rowOff>588108</xdr:rowOff>
    </xdr:to>
    <xdr:pic>
      <xdr:nvPicPr>
        <xdr:cNvPr id="1873" name="Picture 1872">
          <a:extLst>
            <a:ext uri="{FF2B5EF4-FFF2-40B4-BE49-F238E27FC236}">
              <a16:creationId xmlns:a16="http://schemas.microsoft.com/office/drawing/2014/main" id="{CE84A3A3-08E2-4479-8E5C-BB0AEF5EC78F}"/>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283</xdr:row>
      <xdr:rowOff>12108</xdr:rowOff>
    </xdr:from>
    <xdr:to>
      <xdr:col>1</xdr:col>
      <xdr:colOff>951993</xdr:colOff>
      <xdr:row>283</xdr:row>
      <xdr:rowOff>588108</xdr:rowOff>
    </xdr:to>
    <xdr:pic>
      <xdr:nvPicPr>
        <xdr:cNvPr id="1874" name="Picture 1873">
          <a:extLst>
            <a:ext uri="{FF2B5EF4-FFF2-40B4-BE49-F238E27FC236}">
              <a16:creationId xmlns:a16="http://schemas.microsoft.com/office/drawing/2014/main" id="{F2E688C2-2BDD-4B1D-BBCA-2AC03C6827DF}"/>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376921</xdr:colOff>
      <xdr:row>284</xdr:row>
      <xdr:rowOff>12108</xdr:rowOff>
    </xdr:from>
    <xdr:to>
      <xdr:col>1</xdr:col>
      <xdr:colOff>951993</xdr:colOff>
      <xdr:row>284</xdr:row>
      <xdr:rowOff>588108</xdr:rowOff>
    </xdr:to>
    <xdr:pic>
      <xdr:nvPicPr>
        <xdr:cNvPr id="1875" name="Picture 1874">
          <a:extLst>
            <a:ext uri="{FF2B5EF4-FFF2-40B4-BE49-F238E27FC236}">
              <a16:creationId xmlns:a16="http://schemas.microsoft.com/office/drawing/2014/main" id="{D59414C4-4929-4125-8E91-E98CBC2E4792}"/>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1</xdr:col>
      <xdr:colOff>378200</xdr:colOff>
      <xdr:row>286</xdr:row>
      <xdr:rowOff>15874</xdr:rowOff>
    </xdr:from>
    <xdr:to>
      <xdr:col>1</xdr:col>
      <xdr:colOff>954200</xdr:colOff>
      <xdr:row>286</xdr:row>
      <xdr:rowOff>591874</xdr:rowOff>
    </xdr:to>
    <xdr:pic>
      <xdr:nvPicPr>
        <xdr:cNvPr id="1876" name="Picture 1875">
          <a:extLst>
            <a:ext uri="{FF2B5EF4-FFF2-40B4-BE49-F238E27FC236}">
              <a16:creationId xmlns:a16="http://schemas.microsoft.com/office/drawing/2014/main" id="{1C808763-7048-429E-B3C0-062BE85104F5}"/>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378200</xdr:colOff>
      <xdr:row>287</xdr:row>
      <xdr:rowOff>15874</xdr:rowOff>
    </xdr:from>
    <xdr:to>
      <xdr:col>1</xdr:col>
      <xdr:colOff>954200</xdr:colOff>
      <xdr:row>287</xdr:row>
      <xdr:rowOff>591874</xdr:rowOff>
    </xdr:to>
    <xdr:pic>
      <xdr:nvPicPr>
        <xdr:cNvPr id="1877" name="Picture 1876">
          <a:extLst>
            <a:ext uri="{FF2B5EF4-FFF2-40B4-BE49-F238E27FC236}">
              <a16:creationId xmlns:a16="http://schemas.microsoft.com/office/drawing/2014/main" id="{A9EF8532-88FC-4E76-984C-E96756944A42}"/>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378200</xdr:colOff>
      <xdr:row>288</xdr:row>
      <xdr:rowOff>15874</xdr:rowOff>
    </xdr:from>
    <xdr:to>
      <xdr:col>1</xdr:col>
      <xdr:colOff>954200</xdr:colOff>
      <xdr:row>288</xdr:row>
      <xdr:rowOff>591874</xdr:rowOff>
    </xdr:to>
    <xdr:pic>
      <xdr:nvPicPr>
        <xdr:cNvPr id="1878" name="Picture 1877">
          <a:extLst>
            <a:ext uri="{FF2B5EF4-FFF2-40B4-BE49-F238E27FC236}">
              <a16:creationId xmlns:a16="http://schemas.microsoft.com/office/drawing/2014/main" id="{39CC8109-F7A6-4C11-9C70-E0A07B668C97}"/>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378200</xdr:colOff>
      <xdr:row>289</xdr:row>
      <xdr:rowOff>15874</xdr:rowOff>
    </xdr:from>
    <xdr:to>
      <xdr:col>1</xdr:col>
      <xdr:colOff>954200</xdr:colOff>
      <xdr:row>289</xdr:row>
      <xdr:rowOff>591874</xdr:rowOff>
    </xdr:to>
    <xdr:pic>
      <xdr:nvPicPr>
        <xdr:cNvPr id="1879" name="Picture 1878">
          <a:extLst>
            <a:ext uri="{FF2B5EF4-FFF2-40B4-BE49-F238E27FC236}">
              <a16:creationId xmlns:a16="http://schemas.microsoft.com/office/drawing/2014/main" id="{1BC378A2-149C-4DBB-8401-42F38FB70E0F}"/>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378200</xdr:colOff>
      <xdr:row>290</xdr:row>
      <xdr:rowOff>15874</xdr:rowOff>
    </xdr:from>
    <xdr:to>
      <xdr:col>1</xdr:col>
      <xdr:colOff>954200</xdr:colOff>
      <xdr:row>290</xdr:row>
      <xdr:rowOff>591874</xdr:rowOff>
    </xdr:to>
    <xdr:pic>
      <xdr:nvPicPr>
        <xdr:cNvPr id="1880" name="Picture 1879">
          <a:extLst>
            <a:ext uri="{FF2B5EF4-FFF2-40B4-BE49-F238E27FC236}">
              <a16:creationId xmlns:a16="http://schemas.microsoft.com/office/drawing/2014/main" id="{0AB7567F-E3E6-428F-B80F-B7F0501BFC32}"/>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378200</xdr:colOff>
      <xdr:row>291</xdr:row>
      <xdr:rowOff>15874</xdr:rowOff>
    </xdr:from>
    <xdr:to>
      <xdr:col>1</xdr:col>
      <xdr:colOff>954200</xdr:colOff>
      <xdr:row>291</xdr:row>
      <xdr:rowOff>591874</xdr:rowOff>
    </xdr:to>
    <xdr:pic>
      <xdr:nvPicPr>
        <xdr:cNvPr id="1881" name="Picture 1880">
          <a:extLst>
            <a:ext uri="{FF2B5EF4-FFF2-40B4-BE49-F238E27FC236}">
              <a16:creationId xmlns:a16="http://schemas.microsoft.com/office/drawing/2014/main" id="{C0381170-1750-42BC-8B47-6A827C235663}"/>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378200</xdr:colOff>
      <xdr:row>292</xdr:row>
      <xdr:rowOff>15874</xdr:rowOff>
    </xdr:from>
    <xdr:to>
      <xdr:col>1</xdr:col>
      <xdr:colOff>954200</xdr:colOff>
      <xdr:row>292</xdr:row>
      <xdr:rowOff>591874</xdr:rowOff>
    </xdr:to>
    <xdr:pic>
      <xdr:nvPicPr>
        <xdr:cNvPr id="1882" name="Picture 1881">
          <a:extLst>
            <a:ext uri="{FF2B5EF4-FFF2-40B4-BE49-F238E27FC236}">
              <a16:creationId xmlns:a16="http://schemas.microsoft.com/office/drawing/2014/main" id="{9956F1EB-2620-4DA4-A55E-EE2DE09AB16D}"/>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378200</xdr:colOff>
      <xdr:row>293</xdr:row>
      <xdr:rowOff>15874</xdr:rowOff>
    </xdr:from>
    <xdr:to>
      <xdr:col>1</xdr:col>
      <xdr:colOff>954200</xdr:colOff>
      <xdr:row>293</xdr:row>
      <xdr:rowOff>591874</xdr:rowOff>
    </xdr:to>
    <xdr:pic>
      <xdr:nvPicPr>
        <xdr:cNvPr id="1883" name="Picture 1882">
          <a:extLst>
            <a:ext uri="{FF2B5EF4-FFF2-40B4-BE49-F238E27FC236}">
              <a16:creationId xmlns:a16="http://schemas.microsoft.com/office/drawing/2014/main" id="{F10551AE-3319-4A82-8588-8A67DBA32487}"/>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378200</xdr:colOff>
      <xdr:row>294</xdr:row>
      <xdr:rowOff>15874</xdr:rowOff>
    </xdr:from>
    <xdr:to>
      <xdr:col>1</xdr:col>
      <xdr:colOff>954200</xdr:colOff>
      <xdr:row>294</xdr:row>
      <xdr:rowOff>591874</xdr:rowOff>
    </xdr:to>
    <xdr:pic>
      <xdr:nvPicPr>
        <xdr:cNvPr id="1884" name="Picture 1883">
          <a:extLst>
            <a:ext uri="{FF2B5EF4-FFF2-40B4-BE49-F238E27FC236}">
              <a16:creationId xmlns:a16="http://schemas.microsoft.com/office/drawing/2014/main" id="{A3DA11F3-CAC2-4FB9-BF88-94E3110C9D82}"/>
            </a:ext>
          </a:extLst>
        </xdr:cNvPr>
        <xdr:cNvPicPr>
          <a:picLocks noChangeAspect="1"/>
        </xdr:cNvPicPr>
      </xdr:nvPicPr>
      <xdr:blipFill>
        <a:blip xmlns:r="http://schemas.openxmlformats.org/officeDocument/2006/relationships" r:embed="rId14"/>
        <a:stretch>
          <a:fillRect/>
        </a:stretch>
      </xdr:blipFill>
      <xdr:spPr>
        <a:xfrm>
          <a:off x="618326" y="170269246"/>
          <a:ext cx="576000" cy="576000"/>
        </a:xfrm>
        <a:prstGeom prst="rect">
          <a:avLst/>
        </a:prstGeom>
      </xdr:spPr>
    </xdr:pic>
    <xdr:clientData/>
  </xdr:twoCellAnchor>
  <xdr:twoCellAnchor>
    <xdr:from>
      <xdr:col>1</xdr:col>
      <xdr:colOff>385981</xdr:colOff>
      <xdr:row>296</xdr:row>
      <xdr:rowOff>21543</xdr:rowOff>
    </xdr:from>
    <xdr:to>
      <xdr:col>1</xdr:col>
      <xdr:colOff>961981</xdr:colOff>
      <xdr:row>296</xdr:row>
      <xdr:rowOff>597543</xdr:rowOff>
    </xdr:to>
    <xdr:pic>
      <xdr:nvPicPr>
        <xdr:cNvPr id="1885" name="Picture 1884" descr="hair protection">
          <a:extLst>
            <a:ext uri="{FF2B5EF4-FFF2-40B4-BE49-F238E27FC236}">
              <a16:creationId xmlns:a16="http://schemas.microsoft.com/office/drawing/2014/main" id="{AC01D0E3-BC03-4085-BBB2-BB41D5A8F5ED}"/>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1</xdr:col>
      <xdr:colOff>385981</xdr:colOff>
      <xdr:row>297</xdr:row>
      <xdr:rowOff>21543</xdr:rowOff>
    </xdr:from>
    <xdr:to>
      <xdr:col>1</xdr:col>
      <xdr:colOff>961981</xdr:colOff>
      <xdr:row>297</xdr:row>
      <xdr:rowOff>597543</xdr:rowOff>
    </xdr:to>
    <xdr:pic>
      <xdr:nvPicPr>
        <xdr:cNvPr id="1886" name="Picture 1885" descr="hair protection">
          <a:extLst>
            <a:ext uri="{FF2B5EF4-FFF2-40B4-BE49-F238E27FC236}">
              <a16:creationId xmlns:a16="http://schemas.microsoft.com/office/drawing/2014/main" id="{371FF552-FD39-438B-97C9-76BCFD8E904C}"/>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1</xdr:col>
      <xdr:colOff>385981</xdr:colOff>
      <xdr:row>298</xdr:row>
      <xdr:rowOff>21543</xdr:rowOff>
    </xdr:from>
    <xdr:to>
      <xdr:col>1</xdr:col>
      <xdr:colOff>961981</xdr:colOff>
      <xdr:row>298</xdr:row>
      <xdr:rowOff>597543</xdr:rowOff>
    </xdr:to>
    <xdr:pic>
      <xdr:nvPicPr>
        <xdr:cNvPr id="1887" name="Picture 1886" descr="hair protection">
          <a:extLst>
            <a:ext uri="{FF2B5EF4-FFF2-40B4-BE49-F238E27FC236}">
              <a16:creationId xmlns:a16="http://schemas.microsoft.com/office/drawing/2014/main" id="{BF9D2A56-4CD2-468B-884B-403FE5EA2C33}"/>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1</xdr:col>
      <xdr:colOff>385981</xdr:colOff>
      <xdr:row>299</xdr:row>
      <xdr:rowOff>21543</xdr:rowOff>
    </xdr:from>
    <xdr:to>
      <xdr:col>1</xdr:col>
      <xdr:colOff>961981</xdr:colOff>
      <xdr:row>299</xdr:row>
      <xdr:rowOff>597543</xdr:rowOff>
    </xdr:to>
    <xdr:pic>
      <xdr:nvPicPr>
        <xdr:cNvPr id="1888" name="Picture 1887" descr="hair protection">
          <a:extLst>
            <a:ext uri="{FF2B5EF4-FFF2-40B4-BE49-F238E27FC236}">
              <a16:creationId xmlns:a16="http://schemas.microsoft.com/office/drawing/2014/main" id="{064059FB-0537-42A1-9190-927105367D74}"/>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1</xdr:col>
      <xdr:colOff>385981</xdr:colOff>
      <xdr:row>300</xdr:row>
      <xdr:rowOff>21543</xdr:rowOff>
    </xdr:from>
    <xdr:to>
      <xdr:col>1</xdr:col>
      <xdr:colOff>961981</xdr:colOff>
      <xdr:row>300</xdr:row>
      <xdr:rowOff>597543</xdr:rowOff>
    </xdr:to>
    <xdr:pic>
      <xdr:nvPicPr>
        <xdr:cNvPr id="1889" name="Picture 1888" descr="hair protection">
          <a:extLst>
            <a:ext uri="{FF2B5EF4-FFF2-40B4-BE49-F238E27FC236}">
              <a16:creationId xmlns:a16="http://schemas.microsoft.com/office/drawing/2014/main" id="{987BFA80-5A68-47E9-BA1C-5528F22A3871}"/>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1</xdr:col>
      <xdr:colOff>385981</xdr:colOff>
      <xdr:row>301</xdr:row>
      <xdr:rowOff>21543</xdr:rowOff>
    </xdr:from>
    <xdr:to>
      <xdr:col>1</xdr:col>
      <xdr:colOff>961981</xdr:colOff>
      <xdr:row>301</xdr:row>
      <xdr:rowOff>597543</xdr:rowOff>
    </xdr:to>
    <xdr:pic>
      <xdr:nvPicPr>
        <xdr:cNvPr id="1890" name="Picture 1889" descr="hair protection">
          <a:extLst>
            <a:ext uri="{FF2B5EF4-FFF2-40B4-BE49-F238E27FC236}">
              <a16:creationId xmlns:a16="http://schemas.microsoft.com/office/drawing/2014/main" id="{23F76297-98D8-489F-B5A6-C31627E7B618}"/>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1</xdr:col>
      <xdr:colOff>385981</xdr:colOff>
      <xdr:row>302</xdr:row>
      <xdr:rowOff>21543</xdr:rowOff>
    </xdr:from>
    <xdr:to>
      <xdr:col>1</xdr:col>
      <xdr:colOff>961981</xdr:colOff>
      <xdr:row>302</xdr:row>
      <xdr:rowOff>597543</xdr:rowOff>
    </xdr:to>
    <xdr:pic>
      <xdr:nvPicPr>
        <xdr:cNvPr id="1891" name="Picture 1890" descr="hair protection">
          <a:extLst>
            <a:ext uri="{FF2B5EF4-FFF2-40B4-BE49-F238E27FC236}">
              <a16:creationId xmlns:a16="http://schemas.microsoft.com/office/drawing/2014/main" id="{58B26F2A-6465-4234-BFAC-C74C7CA41505}"/>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1</xdr:col>
      <xdr:colOff>385981</xdr:colOff>
      <xdr:row>303</xdr:row>
      <xdr:rowOff>21543</xdr:rowOff>
    </xdr:from>
    <xdr:to>
      <xdr:col>1</xdr:col>
      <xdr:colOff>961981</xdr:colOff>
      <xdr:row>303</xdr:row>
      <xdr:rowOff>597543</xdr:rowOff>
    </xdr:to>
    <xdr:pic>
      <xdr:nvPicPr>
        <xdr:cNvPr id="1892" name="Picture 1891" descr="hair protection">
          <a:extLst>
            <a:ext uri="{FF2B5EF4-FFF2-40B4-BE49-F238E27FC236}">
              <a16:creationId xmlns:a16="http://schemas.microsoft.com/office/drawing/2014/main" id="{6A3E22A6-FEAB-4277-B9B0-77AF9D4DDA32}"/>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1</xdr:col>
      <xdr:colOff>382711</xdr:colOff>
      <xdr:row>305</xdr:row>
      <xdr:rowOff>23810</xdr:rowOff>
    </xdr:from>
    <xdr:to>
      <xdr:col>1</xdr:col>
      <xdr:colOff>958711</xdr:colOff>
      <xdr:row>305</xdr:row>
      <xdr:rowOff>599810</xdr:rowOff>
    </xdr:to>
    <xdr:pic>
      <xdr:nvPicPr>
        <xdr:cNvPr id="1893" name="Picture 1892" descr="head protection">
          <a:extLst>
            <a:ext uri="{FF2B5EF4-FFF2-40B4-BE49-F238E27FC236}">
              <a16:creationId xmlns:a16="http://schemas.microsoft.com/office/drawing/2014/main" id="{DC9F3A9E-6055-46A5-B380-EB8BE223E878}"/>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2837" y="181835249"/>
          <a:ext cx="576000" cy="576000"/>
        </a:xfrm>
        <a:prstGeom prst="rect">
          <a:avLst/>
        </a:prstGeom>
        <a:noFill/>
        <a:ln>
          <a:noFill/>
        </a:ln>
      </xdr:spPr>
    </xdr:pic>
    <xdr:clientData/>
  </xdr:twoCellAnchor>
  <xdr:twoCellAnchor>
    <xdr:from>
      <xdr:col>1</xdr:col>
      <xdr:colOff>382711</xdr:colOff>
      <xdr:row>306</xdr:row>
      <xdr:rowOff>23810</xdr:rowOff>
    </xdr:from>
    <xdr:to>
      <xdr:col>1</xdr:col>
      <xdr:colOff>958711</xdr:colOff>
      <xdr:row>306</xdr:row>
      <xdr:rowOff>599810</xdr:rowOff>
    </xdr:to>
    <xdr:pic>
      <xdr:nvPicPr>
        <xdr:cNvPr id="1894" name="Picture 1893" descr="head protection">
          <a:extLst>
            <a:ext uri="{FF2B5EF4-FFF2-40B4-BE49-F238E27FC236}">
              <a16:creationId xmlns:a16="http://schemas.microsoft.com/office/drawing/2014/main" id="{30D55774-3E80-4526-A84D-AF52CFCAABA2}"/>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2837" y="181835249"/>
          <a:ext cx="576000" cy="576000"/>
        </a:xfrm>
        <a:prstGeom prst="rect">
          <a:avLst/>
        </a:prstGeom>
        <a:noFill/>
        <a:ln>
          <a:noFill/>
        </a:ln>
      </xdr:spPr>
    </xdr:pic>
    <xdr:clientData/>
  </xdr:twoCellAnchor>
  <xdr:twoCellAnchor>
    <xdr:from>
      <xdr:col>1</xdr:col>
      <xdr:colOff>382711</xdr:colOff>
      <xdr:row>307</xdr:row>
      <xdr:rowOff>23810</xdr:rowOff>
    </xdr:from>
    <xdr:to>
      <xdr:col>1</xdr:col>
      <xdr:colOff>958711</xdr:colOff>
      <xdr:row>307</xdr:row>
      <xdr:rowOff>599810</xdr:rowOff>
    </xdr:to>
    <xdr:pic>
      <xdr:nvPicPr>
        <xdr:cNvPr id="1895" name="Picture 1894" descr="head protection">
          <a:extLst>
            <a:ext uri="{FF2B5EF4-FFF2-40B4-BE49-F238E27FC236}">
              <a16:creationId xmlns:a16="http://schemas.microsoft.com/office/drawing/2014/main" id="{0734A41D-94C8-4A7A-8343-7FA375CD82F5}"/>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2837" y="181835249"/>
          <a:ext cx="576000" cy="576000"/>
        </a:xfrm>
        <a:prstGeom prst="rect">
          <a:avLst/>
        </a:prstGeom>
        <a:noFill/>
        <a:ln>
          <a:noFill/>
        </a:ln>
      </xdr:spPr>
    </xdr:pic>
    <xdr:clientData/>
  </xdr:twoCellAnchor>
  <xdr:twoCellAnchor>
    <xdr:from>
      <xdr:col>1</xdr:col>
      <xdr:colOff>382711</xdr:colOff>
      <xdr:row>308</xdr:row>
      <xdr:rowOff>23810</xdr:rowOff>
    </xdr:from>
    <xdr:to>
      <xdr:col>1</xdr:col>
      <xdr:colOff>958711</xdr:colOff>
      <xdr:row>308</xdr:row>
      <xdr:rowOff>599810</xdr:rowOff>
    </xdr:to>
    <xdr:pic>
      <xdr:nvPicPr>
        <xdr:cNvPr id="1896" name="Picture 1895" descr="head protection">
          <a:extLst>
            <a:ext uri="{FF2B5EF4-FFF2-40B4-BE49-F238E27FC236}">
              <a16:creationId xmlns:a16="http://schemas.microsoft.com/office/drawing/2014/main" id="{204226D2-3C51-4D2C-A74D-FA0AFB81921C}"/>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2837" y="181835249"/>
          <a:ext cx="576000" cy="576000"/>
        </a:xfrm>
        <a:prstGeom prst="rect">
          <a:avLst/>
        </a:prstGeom>
        <a:noFill/>
        <a:ln>
          <a:noFill/>
        </a:ln>
      </xdr:spPr>
    </xdr:pic>
    <xdr:clientData/>
  </xdr:twoCellAnchor>
  <xdr:twoCellAnchor>
    <xdr:from>
      <xdr:col>1</xdr:col>
      <xdr:colOff>382711</xdr:colOff>
      <xdr:row>309</xdr:row>
      <xdr:rowOff>23810</xdr:rowOff>
    </xdr:from>
    <xdr:to>
      <xdr:col>1</xdr:col>
      <xdr:colOff>958711</xdr:colOff>
      <xdr:row>309</xdr:row>
      <xdr:rowOff>599810</xdr:rowOff>
    </xdr:to>
    <xdr:pic>
      <xdr:nvPicPr>
        <xdr:cNvPr id="1897" name="Picture 1896" descr="head protection">
          <a:extLst>
            <a:ext uri="{FF2B5EF4-FFF2-40B4-BE49-F238E27FC236}">
              <a16:creationId xmlns:a16="http://schemas.microsoft.com/office/drawing/2014/main" id="{215F2FFA-9D09-4C9A-AD07-FF07C8573037}"/>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2837" y="181835249"/>
          <a:ext cx="576000" cy="576000"/>
        </a:xfrm>
        <a:prstGeom prst="rect">
          <a:avLst/>
        </a:prstGeom>
        <a:noFill/>
        <a:ln>
          <a:noFill/>
        </a:ln>
      </xdr:spPr>
    </xdr:pic>
    <xdr:clientData/>
  </xdr:twoCellAnchor>
  <xdr:twoCellAnchor>
    <xdr:from>
      <xdr:col>1</xdr:col>
      <xdr:colOff>382711</xdr:colOff>
      <xdr:row>310</xdr:row>
      <xdr:rowOff>23810</xdr:rowOff>
    </xdr:from>
    <xdr:to>
      <xdr:col>1</xdr:col>
      <xdr:colOff>958711</xdr:colOff>
      <xdr:row>310</xdr:row>
      <xdr:rowOff>599810</xdr:rowOff>
    </xdr:to>
    <xdr:pic>
      <xdr:nvPicPr>
        <xdr:cNvPr id="1898" name="Picture 1897" descr="head protection">
          <a:extLst>
            <a:ext uri="{FF2B5EF4-FFF2-40B4-BE49-F238E27FC236}">
              <a16:creationId xmlns:a16="http://schemas.microsoft.com/office/drawing/2014/main" id="{9CE42BF1-16AA-486B-B8D8-99FA70460BDB}"/>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2837" y="181835249"/>
          <a:ext cx="576000" cy="576000"/>
        </a:xfrm>
        <a:prstGeom prst="rect">
          <a:avLst/>
        </a:prstGeom>
        <a:noFill/>
        <a:ln>
          <a:noFill/>
        </a:ln>
      </xdr:spPr>
    </xdr:pic>
    <xdr:clientData/>
  </xdr:twoCellAnchor>
  <xdr:twoCellAnchor>
    <xdr:from>
      <xdr:col>1</xdr:col>
      <xdr:colOff>382711</xdr:colOff>
      <xdr:row>311</xdr:row>
      <xdr:rowOff>23810</xdr:rowOff>
    </xdr:from>
    <xdr:to>
      <xdr:col>1</xdr:col>
      <xdr:colOff>958711</xdr:colOff>
      <xdr:row>311</xdr:row>
      <xdr:rowOff>599810</xdr:rowOff>
    </xdr:to>
    <xdr:pic>
      <xdr:nvPicPr>
        <xdr:cNvPr id="1899" name="Picture 1898" descr="head protection">
          <a:extLst>
            <a:ext uri="{FF2B5EF4-FFF2-40B4-BE49-F238E27FC236}">
              <a16:creationId xmlns:a16="http://schemas.microsoft.com/office/drawing/2014/main" id="{30CB5EDD-732F-472C-BB25-06A9FB65229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2837" y="186093484"/>
          <a:ext cx="576000" cy="576000"/>
        </a:xfrm>
        <a:prstGeom prst="rect">
          <a:avLst/>
        </a:prstGeom>
        <a:noFill/>
        <a:ln>
          <a:noFill/>
        </a:ln>
      </xdr:spPr>
    </xdr:pic>
    <xdr:clientData/>
  </xdr:twoCellAnchor>
  <xdr:twoCellAnchor>
    <xdr:from>
      <xdr:col>1</xdr:col>
      <xdr:colOff>387002</xdr:colOff>
      <xdr:row>313</xdr:row>
      <xdr:rowOff>18540</xdr:rowOff>
    </xdr:from>
    <xdr:to>
      <xdr:col>1</xdr:col>
      <xdr:colOff>963002</xdr:colOff>
      <xdr:row>313</xdr:row>
      <xdr:rowOff>594540</xdr:rowOff>
    </xdr:to>
    <xdr:pic>
      <xdr:nvPicPr>
        <xdr:cNvPr id="1900" name="Picture 1899">
          <a:extLst>
            <a:ext uri="{FF2B5EF4-FFF2-40B4-BE49-F238E27FC236}">
              <a16:creationId xmlns:a16="http://schemas.microsoft.com/office/drawing/2014/main" id="{BFE3D524-5BB8-4621-B839-A1341C74E01E}"/>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7128" y="186696534"/>
          <a:ext cx="576000" cy="576000"/>
        </a:xfrm>
        <a:prstGeom prst="rect">
          <a:avLst/>
        </a:prstGeom>
        <a:noFill/>
      </xdr:spPr>
    </xdr:pic>
    <xdr:clientData/>
  </xdr:twoCellAnchor>
  <xdr:twoCellAnchor>
    <xdr:from>
      <xdr:col>1</xdr:col>
      <xdr:colOff>387002</xdr:colOff>
      <xdr:row>314</xdr:row>
      <xdr:rowOff>18540</xdr:rowOff>
    </xdr:from>
    <xdr:to>
      <xdr:col>1</xdr:col>
      <xdr:colOff>963002</xdr:colOff>
      <xdr:row>314</xdr:row>
      <xdr:rowOff>594540</xdr:rowOff>
    </xdr:to>
    <xdr:pic>
      <xdr:nvPicPr>
        <xdr:cNvPr id="1901" name="Picture 1900">
          <a:extLst>
            <a:ext uri="{FF2B5EF4-FFF2-40B4-BE49-F238E27FC236}">
              <a16:creationId xmlns:a16="http://schemas.microsoft.com/office/drawing/2014/main" id="{F9C5D089-99D3-420E-88DB-63E215EFF95F}"/>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7128" y="186696534"/>
          <a:ext cx="576000" cy="576000"/>
        </a:xfrm>
        <a:prstGeom prst="rect">
          <a:avLst/>
        </a:prstGeom>
        <a:noFill/>
      </xdr:spPr>
    </xdr:pic>
    <xdr:clientData/>
  </xdr:twoCellAnchor>
  <xdr:twoCellAnchor>
    <xdr:from>
      <xdr:col>1</xdr:col>
      <xdr:colOff>387002</xdr:colOff>
      <xdr:row>315</xdr:row>
      <xdr:rowOff>18540</xdr:rowOff>
    </xdr:from>
    <xdr:to>
      <xdr:col>1</xdr:col>
      <xdr:colOff>963002</xdr:colOff>
      <xdr:row>315</xdr:row>
      <xdr:rowOff>594540</xdr:rowOff>
    </xdr:to>
    <xdr:pic>
      <xdr:nvPicPr>
        <xdr:cNvPr id="1902" name="Picture 1901">
          <a:extLst>
            <a:ext uri="{FF2B5EF4-FFF2-40B4-BE49-F238E27FC236}">
              <a16:creationId xmlns:a16="http://schemas.microsoft.com/office/drawing/2014/main" id="{D42EF281-1D07-48A3-8FCD-77E983703196}"/>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7128" y="186696534"/>
          <a:ext cx="576000" cy="576000"/>
        </a:xfrm>
        <a:prstGeom prst="rect">
          <a:avLst/>
        </a:prstGeom>
        <a:noFill/>
      </xdr:spPr>
    </xdr:pic>
    <xdr:clientData/>
  </xdr:twoCellAnchor>
  <xdr:twoCellAnchor>
    <xdr:from>
      <xdr:col>1</xdr:col>
      <xdr:colOff>387002</xdr:colOff>
      <xdr:row>316</xdr:row>
      <xdr:rowOff>18540</xdr:rowOff>
    </xdr:from>
    <xdr:to>
      <xdr:col>1</xdr:col>
      <xdr:colOff>963002</xdr:colOff>
      <xdr:row>316</xdr:row>
      <xdr:rowOff>594540</xdr:rowOff>
    </xdr:to>
    <xdr:pic>
      <xdr:nvPicPr>
        <xdr:cNvPr id="1903" name="Picture 1902">
          <a:extLst>
            <a:ext uri="{FF2B5EF4-FFF2-40B4-BE49-F238E27FC236}">
              <a16:creationId xmlns:a16="http://schemas.microsoft.com/office/drawing/2014/main" id="{F03ECF57-B4E4-426D-AB83-18F9CCFBADBE}"/>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7128" y="186696534"/>
          <a:ext cx="576000" cy="576000"/>
        </a:xfrm>
        <a:prstGeom prst="rect">
          <a:avLst/>
        </a:prstGeom>
        <a:noFill/>
      </xdr:spPr>
    </xdr:pic>
    <xdr:clientData/>
  </xdr:twoCellAnchor>
  <xdr:twoCellAnchor>
    <xdr:from>
      <xdr:col>1</xdr:col>
      <xdr:colOff>387002</xdr:colOff>
      <xdr:row>317</xdr:row>
      <xdr:rowOff>18540</xdr:rowOff>
    </xdr:from>
    <xdr:to>
      <xdr:col>1</xdr:col>
      <xdr:colOff>963002</xdr:colOff>
      <xdr:row>317</xdr:row>
      <xdr:rowOff>594540</xdr:rowOff>
    </xdr:to>
    <xdr:pic>
      <xdr:nvPicPr>
        <xdr:cNvPr id="1904" name="Picture 1903">
          <a:extLst>
            <a:ext uri="{FF2B5EF4-FFF2-40B4-BE49-F238E27FC236}">
              <a16:creationId xmlns:a16="http://schemas.microsoft.com/office/drawing/2014/main" id="{C026A904-021F-4956-B169-0925125F9BAA}"/>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7128" y="186696534"/>
          <a:ext cx="576000" cy="576000"/>
        </a:xfrm>
        <a:prstGeom prst="rect">
          <a:avLst/>
        </a:prstGeom>
        <a:noFill/>
      </xdr:spPr>
    </xdr:pic>
    <xdr:clientData/>
  </xdr:twoCellAnchor>
  <xdr:twoCellAnchor>
    <xdr:from>
      <xdr:col>1</xdr:col>
      <xdr:colOff>388649</xdr:colOff>
      <xdr:row>319</xdr:row>
      <xdr:rowOff>20411</xdr:rowOff>
    </xdr:from>
    <xdr:to>
      <xdr:col>1</xdr:col>
      <xdr:colOff>964649</xdr:colOff>
      <xdr:row>319</xdr:row>
      <xdr:rowOff>595416</xdr:rowOff>
    </xdr:to>
    <xdr:pic>
      <xdr:nvPicPr>
        <xdr:cNvPr id="1905" name="Picture 1904">
          <a:extLst>
            <a:ext uri="{FF2B5EF4-FFF2-40B4-BE49-F238E27FC236}">
              <a16:creationId xmlns:a16="http://schemas.microsoft.com/office/drawing/2014/main" id="{DAAE92C5-DC57-4088-AF9E-32466485392E}"/>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28775" y="190348321"/>
          <a:ext cx="576000" cy="575005"/>
        </a:xfrm>
        <a:prstGeom prst="rect">
          <a:avLst/>
        </a:prstGeom>
      </xdr:spPr>
    </xdr:pic>
    <xdr:clientData/>
  </xdr:twoCellAnchor>
  <xdr:twoCellAnchor>
    <xdr:from>
      <xdr:col>1</xdr:col>
      <xdr:colOff>388649</xdr:colOff>
      <xdr:row>320</xdr:row>
      <xdr:rowOff>20411</xdr:rowOff>
    </xdr:from>
    <xdr:to>
      <xdr:col>1</xdr:col>
      <xdr:colOff>964649</xdr:colOff>
      <xdr:row>320</xdr:row>
      <xdr:rowOff>595416</xdr:rowOff>
    </xdr:to>
    <xdr:pic>
      <xdr:nvPicPr>
        <xdr:cNvPr id="1906" name="Picture 1905">
          <a:extLst>
            <a:ext uri="{FF2B5EF4-FFF2-40B4-BE49-F238E27FC236}">
              <a16:creationId xmlns:a16="http://schemas.microsoft.com/office/drawing/2014/main" id="{FFDBE01C-9511-41F4-AA92-4DC42E413ED5}"/>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28775" y="190348321"/>
          <a:ext cx="576000" cy="575005"/>
        </a:xfrm>
        <a:prstGeom prst="rect">
          <a:avLst/>
        </a:prstGeom>
      </xdr:spPr>
    </xdr:pic>
    <xdr:clientData/>
  </xdr:twoCellAnchor>
  <xdr:twoCellAnchor>
    <xdr:from>
      <xdr:col>1</xdr:col>
      <xdr:colOff>388649</xdr:colOff>
      <xdr:row>321</xdr:row>
      <xdr:rowOff>20411</xdr:rowOff>
    </xdr:from>
    <xdr:to>
      <xdr:col>1</xdr:col>
      <xdr:colOff>964649</xdr:colOff>
      <xdr:row>321</xdr:row>
      <xdr:rowOff>595416</xdr:rowOff>
    </xdr:to>
    <xdr:pic>
      <xdr:nvPicPr>
        <xdr:cNvPr id="1907" name="Picture 1906">
          <a:extLst>
            <a:ext uri="{FF2B5EF4-FFF2-40B4-BE49-F238E27FC236}">
              <a16:creationId xmlns:a16="http://schemas.microsoft.com/office/drawing/2014/main" id="{E99D5805-FDEA-46F6-A5FE-EBB2E735ABB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28775" y="190348321"/>
          <a:ext cx="576000" cy="575005"/>
        </a:xfrm>
        <a:prstGeom prst="rect">
          <a:avLst/>
        </a:prstGeom>
      </xdr:spPr>
    </xdr:pic>
    <xdr:clientData/>
  </xdr:twoCellAnchor>
  <xdr:twoCellAnchor>
    <xdr:from>
      <xdr:col>1</xdr:col>
      <xdr:colOff>388649</xdr:colOff>
      <xdr:row>322</xdr:row>
      <xdr:rowOff>20411</xdr:rowOff>
    </xdr:from>
    <xdr:to>
      <xdr:col>1</xdr:col>
      <xdr:colOff>964649</xdr:colOff>
      <xdr:row>322</xdr:row>
      <xdr:rowOff>595416</xdr:rowOff>
    </xdr:to>
    <xdr:pic>
      <xdr:nvPicPr>
        <xdr:cNvPr id="1908" name="Picture 1907">
          <a:extLst>
            <a:ext uri="{FF2B5EF4-FFF2-40B4-BE49-F238E27FC236}">
              <a16:creationId xmlns:a16="http://schemas.microsoft.com/office/drawing/2014/main" id="{3B8509D3-DDBB-466F-A719-C0FCEB28610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28775" y="190348321"/>
          <a:ext cx="576000" cy="575005"/>
        </a:xfrm>
        <a:prstGeom prst="rect">
          <a:avLst/>
        </a:prstGeom>
      </xdr:spPr>
    </xdr:pic>
    <xdr:clientData/>
  </xdr:twoCellAnchor>
  <xdr:twoCellAnchor>
    <xdr:from>
      <xdr:col>1</xdr:col>
      <xdr:colOff>388649</xdr:colOff>
      <xdr:row>323</xdr:row>
      <xdr:rowOff>20411</xdr:rowOff>
    </xdr:from>
    <xdr:to>
      <xdr:col>1</xdr:col>
      <xdr:colOff>964649</xdr:colOff>
      <xdr:row>323</xdr:row>
      <xdr:rowOff>595416</xdr:rowOff>
    </xdr:to>
    <xdr:pic>
      <xdr:nvPicPr>
        <xdr:cNvPr id="1909" name="Picture 1908">
          <a:extLst>
            <a:ext uri="{FF2B5EF4-FFF2-40B4-BE49-F238E27FC236}">
              <a16:creationId xmlns:a16="http://schemas.microsoft.com/office/drawing/2014/main" id="{76C106AE-BA74-40AB-8021-F9577C67A6BA}"/>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28775" y="190348321"/>
          <a:ext cx="576000" cy="575005"/>
        </a:xfrm>
        <a:prstGeom prst="rect">
          <a:avLst/>
        </a:prstGeom>
      </xdr:spPr>
    </xdr:pic>
    <xdr:clientData/>
  </xdr:twoCellAnchor>
  <xdr:twoCellAnchor>
    <xdr:from>
      <xdr:col>1</xdr:col>
      <xdr:colOff>385942</xdr:colOff>
      <xdr:row>325</xdr:row>
      <xdr:rowOff>20407</xdr:rowOff>
    </xdr:from>
    <xdr:to>
      <xdr:col>1</xdr:col>
      <xdr:colOff>961942</xdr:colOff>
      <xdr:row>325</xdr:row>
      <xdr:rowOff>596407</xdr:rowOff>
    </xdr:to>
    <xdr:pic>
      <xdr:nvPicPr>
        <xdr:cNvPr id="1910" name="Picture 1909">
          <a:extLst>
            <a:ext uri="{FF2B5EF4-FFF2-40B4-BE49-F238E27FC236}">
              <a16:creationId xmlns:a16="http://schemas.microsoft.com/office/drawing/2014/main" id="{4A7ECE75-7066-4636-877E-C7BE3CA95D32}"/>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626068" y="193998233"/>
          <a:ext cx="576000" cy="576000"/>
        </a:xfrm>
        <a:prstGeom prst="rect">
          <a:avLst/>
        </a:prstGeom>
        <a:noFill/>
        <a:ln>
          <a:noFill/>
        </a:ln>
      </xdr:spPr>
    </xdr:pic>
    <xdr:clientData/>
  </xdr:twoCellAnchor>
  <xdr:twoCellAnchor>
    <xdr:from>
      <xdr:col>1</xdr:col>
      <xdr:colOff>385942</xdr:colOff>
      <xdr:row>326</xdr:row>
      <xdr:rowOff>20407</xdr:rowOff>
    </xdr:from>
    <xdr:to>
      <xdr:col>1</xdr:col>
      <xdr:colOff>961942</xdr:colOff>
      <xdr:row>326</xdr:row>
      <xdr:rowOff>596407</xdr:rowOff>
    </xdr:to>
    <xdr:pic>
      <xdr:nvPicPr>
        <xdr:cNvPr id="1911" name="Picture 1910">
          <a:extLst>
            <a:ext uri="{FF2B5EF4-FFF2-40B4-BE49-F238E27FC236}">
              <a16:creationId xmlns:a16="http://schemas.microsoft.com/office/drawing/2014/main" id="{7A9D1EFF-B5C4-49B0-A701-10DB599AD85D}"/>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626068" y="193998233"/>
          <a:ext cx="576000" cy="576000"/>
        </a:xfrm>
        <a:prstGeom prst="rect">
          <a:avLst/>
        </a:prstGeom>
        <a:noFill/>
        <a:ln>
          <a:noFill/>
        </a:ln>
      </xdr:spPr>
    </xdr:pic>
    <xdr:clientData/>
  </xdr:twoCellAnchor>
  <xdr:twoCellAnchor>
    <xdr:from>
      <xdr:col>1</xdr:col>
      <xdr:colOff>385942</xdr:colOff>
      <xdr:row>327</xdr:row>
      <xdr:rowOff>20407</xdr:rowOff>
    </xdr:from>
    <xdr:to>
      <xdr:col>1</xdr:col>
      <xdr:colOff>961942</xdr:colOff>
      <xdr:row>327</xdr:row>
      <xdr:rowOff>596407</xdr:rowOff>
    </xdr:to>
    <xdr:pic>
      <xdr:nvPicPr>
        <xdr:cNvPr id="1912" name="Picture 1911">
          <a:extLst>
            <a:ext uri="{FF2B5EF4-FFF2-40B4-BE49-F238E27FC236}">
              <a16:creationId xmlns:a16="http://schemas.microsoft.com/office/drawing/2014/main" id="{22401D44-3236-48C1-848A-672794591C03}"/>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626068" y="193998233"/>
          <a:ext cx="576000" cy="576000"/>
        </a:xfrm>
        <a:prstGeom prst="rect">
          <a:avLst/>
        </a:prstGeom>
        <a:noFill/>
        <a:ln>
          <a:noFill/>
        </a:ln>
      </xdr:spPr>
    </xdr:pic>
    <xdr:clientData/>
  </xdr:twoCellAnchor>
  <xdr:twoCellAnchor>
    <xdr:from>
      <xdr:col>1</xdr:col>
      <xdr:colOff>385942</xdr:colOff>
      <xdr:row>328</xdr:row>
      <xdr:rowOff>20407</xdr:rowOff>
    </xdr:from>
    <xdr:to>
      <xdr:col>1</xdr:col>
      <xdr:colOff>961942</xdr:colOff>
      <xdr:row>328</xdr:row>
      <xdr:rowOff>596407</xdr:rowOff>
    </xdr:to>
    <xdr:pic>
      <xdr:nvPicPr>
        <xdr:cNvPr id="1913" name="Picture 1912">
          <a:extLst>
            <a:ext uri="{FF2B5EF4-FFF2-40B4-BE49-F238E27FC236}">
              <a16:creationId xmlns:a16="http://schemas.microsoft.com/office/drawing/2014/main" id="{8F6023F3-4BB7-4BB1-9D63-9FB85F258494}"/>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626068" y="193998233"/>
          <a:ext cx="576000" cy="576000"/>
        </a:xfrm>
        <a:prstGeom prst="rect">
          <a:avLst/>
        </a:prstGeom>
        <a:noFill/>
        <a:ln>
          <a:noFill/>
        </a:ln>
      </xdr:spPr>
    </xdr:pic>
    <xdr:clientData/>
  </xdr:twoCellAnchor>
  <xdr:twoCellAnchor>
    <xdr:from>
      <xdr:col>1</xdr:col>
      <xdr:colOff>380202</xdr:colOff>
      <xdr:row>330</xdr:row>
      <xdr:rowOff>17010</xdr:rowOff>
    </xdr:from>
    <xdr:to>
      <xdr:col>1</xdr:col>
      <xdr:colOff>956202</xdr:colOff>
      <xdr:row>330</xdr:row>
      <xdr:rowOff>593010</xdr:rowOff>
    </xdr:to>
    <xdr:pic>
      <xdr:nvPicPr>
        <xdr:cNvPr id="1914" name="Picture 1913">
          <a:extLst>
            <a:ext uri="{FF2B5EF4-FFF2-40B4-BE49-F238E27FC236}">
              <a16:creationId xmlns:a16="http://schemas.microsoft.com/office/drawing/2014/main" id="{1102AF9C-21D3-4A6E-A687-068E39167CA2}"/>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620328" y="197036432"/>
          <a:ext cx="576000" cy="576000"/>
        </a:xfrm>
        <a:prstGeom prst="rect">
          <a:avLst/>
        </a:prstGeom>
      </xdr:spPr>
    </xdr:pic>
    <xdr:clientData/>
  </xdr:twoCellAnchor>
  <xdr:twoCellAnchor>
    <xdr:from>
      <xdr:col>1</xdr:col>
      <xdr:colOff>380202</xdr:colOff>
      <xdr:row>331</xdr:row>
      <xdr:rowOff>17010</xdr:rowOff>
    </xdr:from>
    <xdr:to>
      <xdr:col>1</xdr:col>
      <xdr:colOff>956202</xdr:colOff>
      <xdr:row>331</xdr:row>
      <xdr:rowOff>593010</xdr:rowOff>
    </xdr:to>
    <xdr:pic>
      <xdr:nvPicPr>
        <xdr:cNvPr id="1915" name="Picture 1914">
          <a:extLst>
            <a:ext uri="{FF2B5EF4-FFF2-40B4-BE49-F238E27FC236}">
              <a16:creationId xmlns:a16="http://schemas.microsoft.com/office/drawing/2014/main" id="{9C93D2FC-B8AB-4F52-A141-E0F5EF4CBB12}"/>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620328" y="197036432"/>
          <a:ext cx="576000" cy="576000"/>
        </a:xfrm>
        <a:prstGeom prst="rect">
          <a:avLst/>
        </a:prstGeom>
      </xdr:spPr>
    </xdr:pic>
    <xdr:clientData/>
  </xdr:twoCellAnchor>
  <xdr:twoCellAnchor>
    <xdr:from>
      <xdr:col>1</xdr:col>
      <xdr:colOff>380202</xdr:colOff>
      <xdr:row>332</xdr:row>
      <xdr:rowOff>17010</xdr:rowOff>
    </xdr:from>
    <xdr:to>
      <xdr:col>1</xdr:col>
      <xdr:colOff>956202</xdr:colOff>
      <xdr:row>332</xdr:row>
      <xdr:rowOff>593010</xdr:rowOff>
    </xdr:to>
    <xdr:pic>
      <xdr:nvPicPr>
        <xdr:cNvPr id="1916" name="Picture 1915">
          <a:extLst>
            <a:ext uri="{FF2B5EF4-FFF2-40B4-BE49-F238E27FC236}">
              <a16:creationId xmlns:a16="http://schemas.microsoft.com/office/drawing/2014/main" id="{A6AE3CEA-E240-442A-A8F7-D182420C1F48}"/>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620328" y="197036432"/>
          <a:ext cx="576000" cy="576000"/>
        </a:xfrm>
        <a:prstGeom prst="rect">
          <a:avLst/>
        </a:prstGeom>
      </xdr:spPr>
    </xdr:pic>
    <xdr:clientData/>
  </xdr:twoCellAnchor>
  <xdr:twoCellAnchor>
    <xdr:from>
      <xdr:col>1</xdr:col>
      <xdr:colOff>380046</xdr:colOff>
      <xdr:row>334</xdr:row>
      <xdr:rowOff>18141</xdr:rowOff>
    </xdr:from>
    <xdr:to>
      <xdr:col>1</xdr:col>
      <xdr:colOff>956046</xdr:colOff>
      <xdr:row>334</xdr:row>
      <xdr:rowOff>594141</xdr:rowOff>
    </xdr:to>
    <xdr:pic>
      <xdr:nvPicPr>
        <xdr:cNvPr id="1917" name="Picture 1916" descr="safety vests">
          <a:extLst>
            <a:ext uri="{FF2B5EF4-FFF2-40B4-BE49-F238E27FC236}">
              <a16:creationId xmlns:a16="http://schemas.microsoft.com/office/drawing/2014/main" id="{840DC397-F114-4743-B647-AA9E03603232}"/>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20172" y="199470841"/>
          <a:ext cx="576000" cy="576000"/>
        </a:xfrm>
        <a:prstGeom prst="rect">
          <a:avLst/>
        </a:prstGeom>
        <a:noFill/>
        <a:ln>
          <a:noFill/>
        </a:ln>
      </xdr:spPr>
    </xdr:pic>
    <xdr:clientData/>
  </xdr:twoCellAnchor>
  <xdr:twoCellAnchor>
    <xdr:from>
      <xdr:col>1</xdr:col>
      <xdr:colOff>380046</xdr:colOff>
      <xdr:row>335</xdr:row>
      <xdr:rowOff>18141</xdr:rowOff>
    </xdr:from>
    <xdr:to>
      <xdr:col>1</xdr:col>
      <xdr:colOff>956046</xdr:colOff>
      <xdr:row>335</xdr:row>
      <xdr:rowOff>594141</xdr:rowOff>
    </xdr:to>
    <xdr:pic>
      <xdr:nvPicPr>
        <xdr:cNvPr id="1918" name="Picture 1917" descr="safety vests">
          <a:extLst>
            <a:ext uri="{FF2B5EF4-FFF2-40B4-BE49-F238E27FC236}">
              <a16:creationId xmlns:a16="http://schemas.microsoft.com/office/drawing/2014/main" id="{E2D36899-422A-4A87-95DF-626F3D6A2621}"/>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20172" y="200687479"/>
          <a:ext cx="576000" cy="576000"/>
        </a:xfrm>
        <a:prstGeom prst="rect">
          <a:avLst/>
        </a:prstGeom>
        <a:noFill/>
        <a:ln>
          <a:noFill/>
        </a:ln>
      </xdr:spPr>
    </xdr:pic>
    <xdr:clientData/>
  </xdr:twoCellAnchor>
  <xdr:twoCellAnchor>
    <xdr:from>
      <xdr:col>1</xdr:col>
      <xdr:colOff>380535</xdr:colOff>
      <xdr:row>337</xdr:row>
      <xdr:rowOff>17008</xdr:rowOff>
    </xdr:from>
    <xdr:to>
      <xdr:col>1</xdr:col>
      <xdr:colOff>956535</xdr:colOff>
      <xdr:row>337</xdr:row>
      <xdr:rowOff>593008</xdr:rowOff>
    </xdr:to>
    <xdr:pic>
      <xdr:nvPicPr>
        <xdr:cNvPr id="1919" name="Picture 1918">
          <a:extLst>
            <a:ext uri="{FF2B5EF4-FFF2-40B4-BE49-F238E27FC236}">
              <a16:creationId xmlns:a16="http://schemas.microsoft.com/office/drawing/2014/main" id="{791D1690-CE17-48CA-ACFC-805B1D6DCA26}"/>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620661" y="201294666"/>
          <a:ext cx="576000" cy="576000"/>
        </a:xfrm>
        <a:prstGeom prst="rect">
          <a:avLst/>
        </a:prstGeom>
      </xdr:spPr>
    </xdr:pic>
    <xdr:clientData/>
  </xdr:twoCellAnchor>
  <xdr:twoCellAnchor>
    <xdr:from>
      <xdr:col>4</xdr:col>
      <xdr:colOff>379338</xdr:colOff>
      <xdr:row>336</xdr:row>
      <xdr:rowOff>17007</xdr:rowOff>
    </xdr:from>
    <xdr:to>
      <xdr:col>4</xdr:col>
      <xdr:colOff>955338</xdr:colOff>
      <xdr:row>336</xdr:row>
      <xdr:rowOff>593007</xdr:rowOff>
    </xdr:to>
    <xdr:pic>
      <xdr:nvPicPr>
        <xdr:cNvPr id="1920" name="Picture 1919">
          <a:extLst>
            <a:ext uri="{FF2B5EF4-FFF2-40B4-BE49-F238E27FC236}">
              <a16:creationId xmlns:a16="http://schemas.microsoft.com/office/drawing/2014/main" id="{A942879E-EF91-4324-AC90-2A70B0CD749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19464" y="202511303"/>
          <a:ext cx="576000" cy="576000"/>
        </a:xfrm>
        <a:prstGeom prst="rect">
          <a:avLst/>
        </a:prstGeom>
        <a:noFill/>
      </xdr:spPr>
    </xdr:pic>
    <xdr:clientData/>
  </xdr:twoCellAnchor>
  <xdr:twoCellAnchor>
    <xdr:from>
      <xdr:col>4</xdr:col>
      <xdr:colOff>404994</xdr:colOff>
      <xdr:row>337</xdr:row>
      <xdr:rowOff>30344</xdr:rowOff>
    </xdr:from>
    <xdr:to>
      <xdr:col>4</xdr:col>
      <xdr:colOff>944994</xdr:colOff>
      <xdr:row>337</xdr:row>
      <xdr:rowOff>570344</xdr:rowOff>
    </xdr:to>
    <xdr:pic>
      <xdr:nvPicPr>
        <xdr:cNvPr id="1921" name="Picture 1920">
          <a:extLst>
            <a:ext uri="{FF2B5EF4-FFF2-40B4-BE49-F238E27FC236}">
              <a16:creationId xmlns:a16="http://schemas.microsoft.com/office/drawing/2014/main" id="{E4CF1DE1-4B23-4C2A-AB04-09F724B881B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201916321"/>
          <a:ext cx="540000" cy="540000"/>
        </a:xfrm>
        <a:prstGeom prst="rect">
          <a:avLst/>
        </a:prstGeom>
        <a:ln>
          <a:solidFill>
            <a:schemeClr val="tx1"/>
          </a:solidFill>
        </a:ln>
      </xdr:spPr>
    </xdr:pic>
    <xdr:clientData/>
  </xdr:twoCellAnchor>
  <xdr:twoCellAnchor>
    <xdr:from>
      <xdr:col>4</xdr:col>
      <xdr:colOff>457020</xdr:colOff>
      <xdr:row>338</xdr:row>
      <xdr:rowOff>30345</xdr:rowOff>
    </xdr:from>
    <xdr:to>
      <xdr:col>4</xdr:col>
      <xdr:colOff>889020</xdr:colOff>
      <xdr:row>338</xdr:row>
      <xdr:rowOff>452820</xdr:rowOff>
    </xdr:to>
    <xdr:pic>
      <xdr:nvPicPr>
        <xdr:cNvPr id="1922" name="Picture 1921">
          <a:extLst>
            <a:ext uri="{FF2B5EF4-FFF2-40B4-BE49-F238E27FC236}">
              <a16:creationId xmlns:a16="http://schemas.microsoft.com/office/drawing/2014/main" id="{652BFC51-78B2-466B-9D99-C4CB5D15020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201916322"/>
          <a:ext cx="432000" cy="422475"/>
        </a:xfrm>
        <a:prstGeom prst="rect">
          <a:avLst/>
        </a:prstGeom>
        <a:ln>
          <a:solidFill>
            <a:schemeClr val="tx1"/>
          </a:solidFill>
        </a:ln>
      </xdr:spPr>
    </xdr:pic>
    <xdr:clientData/>
  </xdr:twoCellAnchor>
  <xdr:twoCellAnchor>
    <xdr:from>
      <xdr:col>4</xdr:col>
      <xdr:colOff>404994</xdr:colOff>
      <xdr:row>338</xdr:row>
      <xdr:rowOff>30344</xdr:rowOff>
    </xdr:from>
    <xdr:to>
      <xdr:col>4</xdr:col>
      <xdr:colOff>944994</xdr:colOff>
      <xdr:row>338</xdr:row>
      <xdr:rowOff>570344</xdr:rowOff>
    </xdr:to>
    <xdr:pic>
      <xdr:nvPicPr>
        <xdr:cNvPr id="1923" name="Picture 1922">
          <a:extLst>
            <a:ext uri="{FF2B5EF4-FFF2-40B4-BE49-F238E27FC236}">
              <a16:creationId xmlns:a16="http://schemas.microsoft.com/office/drawing/2014/main" id="{AC9B866B-0955-47E5-85C3-FD5DF3938F5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201916321"/>
          <a:ext cx="540000" cy="540000"/>
        </a:xfrm>
        <a:prstGeom prst="rect">
          <a:avLst/>
        </a:prstGeom>
        <a:ln>
          <a:solidFill>
            <a:schemeClr val="tx1"/>
          </a:solidFill>
        </a:ln>
      </xdr:spPr>
    </xdr:pic>
    <xdr:clientData/>
  </xdr:twoCellAnchor>
  <xdr:twoCellAnchor>
    <xdr:from>
      <xdr:col>4</xdr:col>
      <xdr:colOff>457020</xdr:colOff>
      <xdr:row>335</xdr:row>
      <xdr:rowOff>30345</xdr:rowOff>
    </xdr:from>
    <xdr:to>
      <xdr:col>4</xdr:col>
      <xdr:colOff>889020</xdr:colOff>
      <xdr:row>335</xdr:row>
      <xdr:rowOff>452820</xdr:rowOff>
    </xdr:to>
    <xdr:pic>
      <xdr:nvPicPr>
        <xdr:cNvPr id="1926" name="Picture 1925">
          <a:extLst>
            <a:ext uri="{FF2B5EF4-FFF2-40B4-BE49-F238E27FC236}">
              <a16:creationId xmlns:a16="http://schemas.microsoft.com/office/drawing/2014/main" id="{7230D3FC-F40F-4FDF-BA3A-ACE57F961B7C}"/>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201916322"/>
          <a:ext cx="432000" cy="422475"/>
        </a:xfrm>
        <a:prstGeom prst="rect">
          <a:avLst/>
        </a:prstGeom>
        <a:ln>
          <a:solidFill>
            <a:schemeClr val="tx1"/>
          </a:solidFill>
        </a:ln>
      </xdr:spPr>
    </xdr:pic>
    <xdr:clientData/>
  </xdr:twoCellAnchor>
  <xdr:twoCellAnchor>
    <xdr:from>
      <xdr:col>4</xdr:col>
      <xdr:colOff>404994</xdr:colOff>
      <xdr:row>335</xdr:row>
      <xdr:rowOff>30344</xdr:rowOff>
    </xdr:from>
    <xdr:to>
      <xdr:col>4</xdr:col>
      <xdr:colOff>944994</xdr:colOff>
      <xdr:row>335</xdr:row>
      <xdr:rowOff>570344</xdr:rowOff>
    </xdr:to>
    <xdr:pic>
      <xdr:nvPicPr>
        <xdr:cNvPr id="1927" name="Picture 1926">
          <a:extLst>
            <a:ext uri="{FF2B5EF4-FFF2-40B4-BE49-F238E27FC236}">
              <a16:creationId xmlns:a16="http://schemas.microsoft.com/office/drawing/2014/main" id="{D2A86EAD-0DE1-4941-8748-84C75A96C6F5}"/>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201916321"/>
          <a:ext cx="540000" cy="540000"/>
        </a:xfrm>
        <a:prstGeom prst="rect">
          <a:avLst/>
        </a:prstGeom>
        <a:ln>
          <a:solidFill>
            <a:schemeClr val="tx1"/>
          </a:solidFill>
        </a:ln>
      </xdr:spPr>
    </xdr:pic>
    <xdr:clientData/>
  </xdr:twoCellAnchor>
  <xdr:twoCellAnchor>
    <xdr:from>
      <xdr:col>4</xdr:col>
      <xdr:colOff>457020</xdr:colOff>
      <xdr:row>332</xdr:row>
      <xdr:rowOff>30345</xdr:rowOff>
    </xdr:from>
    <xdr:to>
      <xdr:col>4</xdr:col>
      <xdr:colOff>889020</xdr:colOff>
      <xdr:row>332</xdr:row>
      <xdr:rowOff>452820</xdr:rowOff>
    </xdr:to>
    <xdr:pic>
      <xdr:nvPicPr>
        <xdr:cNvPr id="1928" name="Picture 1927">
          <a:extLst>
            <a:ext uri="{FF2B5EF4-FFF2-40B4-BE49-F238E27FC236}">
              <a16:creationId xmlns:a16="http://schemas.microsoft.com/office/drawing/2014/main" id="{D772E856-5FA9-4B9B-9A4C-D219EC7492BF}"/>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201916322"/>
          <a:ext cx="432000" cy="422475"/>
        </a:xfrm>
        <a:prstGeom prst="rect">
          <a:avLst/>
        </a:prstGeom>
        <a:ln>
          <a:solidFill>
            <a:schemeClr val="tx1"/>
          </a:solidFill>
        </a:ln>
      </xdr:spPr>
    </xdr:pic>
    <xdr:clientData/>
  </xdr:twoCellAnchor>
  <xdr:twoCellAnchor>
    <xdr:from>
      <xdr:col>4</xdr:col>
      <xdr:colOff>404994</xdr:colOff>
      <xdr:row>332</xdr:row>
      <xdr:rowOff>30344</xdr:rowOff>
    </xdr:from>
    <xdr:to>
      <xdr:col>4</xdr:col>
      <xdr:colOff>944994</xdr:colOff>
      <xdr:row>332</xdr:row>
      <xdr:rowOff>570344</xdr:rowOff>
    </xdr:to>
    <xdr:pic>
      <xdr:nvPicPr>
        <xdr:cNvPr id="1929" name="Picture 1928">
          <a:extLst>
            <a:ext uri="{FF2B5EF4-FFF2-40B4-BE49-F238E27FC236}">
              <a16:creationId xmlns:a16="http://schemas.microsoft.com/office/drawing/2014/main" id="{5C6329F1-F364-45D9-96AF-A49D82E43BCC}"/>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201916321"/>
          <a:ext cx="540000" cy="540000"/>
        </a:xfrm>
        <a:prstGeom prst="rect">
          <a:avLst/>
        </a:prstGeom>
        <a:ln>
          <a:solidFill>
            <a:schemeClr val="tx1"/>
          </a:solidFill>
        </a:ln>
      </xdr:spPr>
    </xdr:pic>
    <xdr:clientData/>
  </xdr:twoCellAnchor>
  <xdr:twoCellAnchor>
    <xdr:from>
      <xdr:col>4</xdr:col>
      <xdr:colOff>379338</xdr:colOff>
      <xdr:row>334</xdr:row>
      <xdr:rowOff>17007</xdr:rowOff>
    </xdr:from>
    <xdr:to>
      <xdr:col>4</xdr:col>
      <xdr:colOff>955338</xdr:colOff>
      <xdr:row>334</xdr:row>
      <xdr:rowOff>593007</xdr:rowOff>
    </xdr:to>
    <xdr:pic>
      <xdr:nvPicPr>
        <xdr:cNvPr id="1930" name="Picture 1929">
          <a:extLst>
            <a:ext uri="{FF2B5EF4-FFF2-40B4-BE49-F238E27FC236}">
              <a16:creationId xmlns:a16="http://schemas.microsoft.com/office/drawing/2014/main" id="{8938CC3C-9FF5-4E50-84A7-B74E8830CCA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19464" y="202511303"/>
          <a:ext cx="576000" cy="576000"/>
        </a:xfrm>
        <a:prstGeom prst="rect">
          <a:avLst/>
        </a:prstGeom>
        <a:noFill/>
      </xdr:spPr>
    </xdr:pic>
    <xdr:clientData/>
  </xdr:twoCellAnchor>
  <xdr:twoCellAnchor>
    <xdr:from>
      <xdr:col>4</xdr:col>
      <xdr:colOff>380535</xdr:colOff>
      <xdr:row>333</xdr:row>
      <xdr:rowOff>17008</xdr:rowOff>
    </xdr:from>
    <xdr:to>
      <xdr:col>4</xdr:col>
      <xdr:colOff>956535</xdr:colOff>
      <xdr:row>333</xdr:row>
      <xdr:rowOff>593008</xdr:rowOff>
    </xdr:to>
    <xdr:pic>
      <xdr:nvPicPr>
        <xdr:cNvPr id="1931" name="Picture 1930">
          <a:extLst>
            <a:ext uri="{FF2B5EF4-FFF2-40B4-BE49-F238E27FC236}">
              <a16:creationId xmlns:a16="http://schemas.microsoft.com/office/drawing/2014/main" id="{3EF3BC22-23DB-4BCB-BB04-F8BCCB727A1A}"/>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620661" y="201902985"/>
          <a:ext cx="576000" cy="576000"/>
        </a:xfrm>
        <a:prstGeom prst="rect">
          <a:avLst/>
        </a:prstGeom>
      </xdr:spPr>
    </xdr:pic>
    <xdr:clientData/>
  </xdr:twoCellAnchor>
  <xdr:twoCellAnchor>
    <xdr:from>
      <xdr:col>4</xdr:col>
      <xdr:colOff>379338</xdr:colOff>
      <xdr:row>331</xdr:row>
      <xdr:rowOff>17007</xdr:rowOff>
    </xdr:from>
    <xdr:to>
      <xdr:col>4</xdr:col>
      <xdr:colOff>955338</xdr:colOff>
      <xdr:row>331</xdr:row>
      <xdr:rowOff>593007</xdr:rowOff>
    </xdr:to>
    <xdr:pic>
      <xdr:nvPicPr>
        <xdr:cNvPr id="1932" name="Picture 1931">
          <a:extLst>
            <a:ext uri="{FF2B5EF4-FFF2-40B4-BE49-F238E27FC236}">
              <a16:creationId xmlns:a16="http://schemas.microsoft.com/office/drawing/2014/main" id="{4A3035D6-43DC-4862-8903-3B7E99EC547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19464" y="202511303"/>
          <a:ext cx="576000" cy="576000"/>
        </a:xfrm>
        <a:prstGeom prst="rect">
          <a:avLst/>
        </a:prstGeom>
        <a:noFill/>
      </xdr:spPr>
    </xdr:pic>
    <xdr:clientData/>
  </xdr:twoCellAnchor>
  <xdr:twoCellAnchor>
    <xdr:from>
      <xdr:col>4</xdr:col>
      <xdr:colOff>380535</xdr:colOff>
      <xdr:row>330</xdr:row>
      <xdr:rowOff>17008</xdr:rowOff>
    </xdr:from>
    <xdr:to>
      <xdr:col>4</xdr:col>
      <xdr:colOff>956535</xdr:colOff>
      <xdr:row>330</xdr:row>
      <xdr:rowOff>593008</xdr:rowOff>
    </xdr:to>
    <xdr:pic>
      <xdr:nvPicPr>
        <xdr:cNvPr id="1933" name="Picture 1932">
          <a:extLst>
            <a:ext uri="{FF2B5EF4-FFF2-40B4-BE49-F238E27FC236}">
              <a16:creationId xmlns:a16="http://schemas.microsoft.com/office/drawing/2014/main" id="{9B9FCB8D-F578-421F-96FA-F19482D5D0AF}"/>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620661" y="201902985"/>
          <a:ext cx="576000" cy="576000"/>
        </a:xfrm>
        <a:prstGeom prst="rect">
          <a:avLst/>
        </a:prstGeom>
      </xdr:spPr>
    </xdr:pic>
    <xdr:clientData/>
  </xdr:twoCellAnchor>
  <xdr:twoCellAnchor>
    <xdr:from>
      <xdr:col>4</xdr:col>
      <xdr:colOff>349249</xdr:colOff>
      <xdr:row>36</xdr:row>
      <xdr:rowOff>17234</xdr:rowOff>
    </xdr:from>
    <xdr:to>
      <xdr:col>4</xdr:col>
      <xdr:colOff>925249</xdr:colOff>
      <xdr:row>36</xdr:row>
      <xdr:rowOff>593234</xdr:rowOff>
    </xdr:to>
    <xdr:pic>
      <xdr:nvPicPr>
        <xdr:cNvPr id="1936" name="Picture 1935">
          <a:extLst>
            <a:ext uri="{FF2B5EF4-FFF2-40B4-BE49-F238E27FC236}">
              <a16:creationId xmlns:a16="http://schemas.microsoft.com/office/drawing/2014/main" id="{DA02768D-AF6D-4697-8385-D33941AF484D}"/>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589375" y="63206404"/>
          <a:ext cx="576000" cy="576000"/>
        </a:xfrm>
        <a:prstGeom prst="rect">
          <a:avLst/>
        </a:prstGeom>
      </xdr:spPr>
    </xdr:pic>
    <xdr:clientData/>
  </xdr:twoCellAnchor>
  <xdr:twoCellAnchor>
    <xdr:from>
      <xdr:col>4</xdr:col>
      <xdr:colOff>365123</xdr:colOff>
      <xdr:row>35</xdr:row>
      <xdr:rowOff>18141</xdr:rowOff>
    </xdr:from>
    <xdr:to>
      <xdr:col>4</xdr:col>
      <xdr:colOff>941123</xdr:colOff>
      <xdr:row>35</xdr:row>
      <xdr:rowOff>594141</xdr:rowOff>
    </xdr:to>
    <xdr:pic>
      <xdr:nvPicPr>
        <xdr:cNvPr id="1937" name="Picture 1936" descr="face shield">
          <a:extLst>
            <a:ext uri="{FF2B5EF4-FFF2-40B4-BE49-F238E27FC236}">
              <a16:creationId xmlns:a16="http://schemas.microsoft.com/office/drawing/2014/main" id="{E1ECF6E3-8C05-4166-BBD3-654941DE745F}"/>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05249" y="62598992"/>
          <a:ext cx="576000" cy="576000"/>
        </a:xfrm>
        <a:prstGeom prst="rect">
          <a:avLst/>
        </a:prstGeom>
        <a:noFill/>
        <a:ln>
          <a:noFill/>
        </a:ln>
      </xdr:spPr>
    </xdr:pic>
    <xdr:clientData/>
  </xdr:twoCellAnchor>
  <xdr:twoCellAnchor>
    <xdr:from>
      <xdr:col>4</xdr:col>
      <xdr:colOff>358454</xdr:colOff>
      <xdr:row>38</xdr:row>
      <xdr:rowOff>21635</xdr:rowOff>
    </xdr:from>
    <xdr:to>
      <xdr:col>4</xdr:col>
      <xdr:colOff>934454</xdr:colOff>
      <xdr:row>38</xdr:row>
      <xdr:rowOff>597635</xdr:rowOff>
    </xdr:to>
    <xdr:pic>
      <xdr:nvPicPr>
        <xdr:cNvPr id="1938" name="Picture 1937">
          <a:extLst>
            <a:ext uri="{FF2B5EF4-FFF2-40B4-BE49-F238E27FC236}">
              <a16:creationId xmlns:a16="http://schemas.microsoft.com/office/drawing/2014/main" id="{04AC0121-F714-437A-A8B0-3209EF2F0DCB}"/>
            </a:ext>
          </a:extLst>
        </xdr:cNvPr>
        <xdr:cNvPicPr>
          <a:picLocks noChangeAspect="1"/>
        </xdr:cNvPicPr>
      </xdr:nvPicPr>
      <xdr:blipFill>
        <a:blip xmlns:r="http://schemas.openxmlformats.org/officeDocument/2006/relationships" r:embed="rId11"/>
        <a:stretch>
          <a:fillRect/>
        </a:stretch>
      </xdr:blipFill>
      <xdr:spPr>
        <a:xfrm>
          <a:off x="598580" y="88151898"/>
          <a:ext cx="576000" cy="576000"/>
        </a:xfrm>
        <a:prstGeom prst="rect">
          <a:avLst/>
        </a:prstGeom>
      </xdr:spPr>
    </xdr:pic>
    <xdr:clientData/>
  </xdr:twoCellAnchor>
  <xdr:twoCellAnchor>
    <xdr:from>
      <xdr:col>4</xdr:col>
      <xdr:colOff>368676</xdr:colOff>
      <xdr:row>37</xdr:row>
      <xdr:rowOff>23131</xdr:rowOff>
    </xdr:from>
    <xdr:to>
      <xdr:col>4</xdr:col>
      <xdr:colOff>944676</xdr:colOff>
      <xdr:row>37</xdr:row>
      <xdr:rowOff>599131</xdr:rowOff>
    </xdr:to>
    <xdr:pic>
      <xdr:nvPicPr>
        <xdr:cNvPr id="1939" name="Picture 1938">
          <a:extLst>
            <a:ext uri="{FF2B5EF4-FFF2-40B4-BE49-F238E27FC236}">
              <a16:creationId xmlns:a16="http://schemas.microsoft.com/office/drawing/2014/main" id="{5F1A95E8-B745-4094-83C6-B1A874D56FE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608802" y="87545074"/>
          <a:ext cx="576000" cy="576000"/>
        </a:xfrm>
        <a:prstGeom prst="rect">
          <a:avLst/>
        </a:prstGeom>
        <a:noFill/>
        <a:ln>
          <a:noFill/>
        </a:ln>
      </xdr:spPr>
    </xdr:pic>
    <xdr:clientData/>
  </xdr:twoCellAnchor>
  <xdr:twoCellAnchor>
    <xdr:from>
      <xdr:col>4</xdr:col>
      <xdr:colOff>356055</xdr:colOff>
      <xdr:row>40</xdr:row>
      <xdr:rowOff>17235</xdr:rowOff>
    </xdr:from>
    <xdr:to>
      <xdr:col>4</xdr:col>
      <xdr:colOff>932212</xdr:colOff>
      <xdr:row>40</xdr:row>
      <xdr:rowOff>593235</xdr:rowOff>
    </xdr:to>
    <xdr:pic>
      <xdr:nvPicPr>
        <xdr:cNvPr id="1940" name="Picture 1939">
          <a:extLst>
            <a:ext uri="{FF2B5EF4-FFF2-40B4-BE49-F238E27FC236}">
              <a16:creationId xmlns:a16="http://schemas.microsoft.com/office/drawing/2014/main" id="{66280926-7E96-43EC-9BD0-16EA5B737F94}"/>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596181" y="113088590"/>
          <a:ext cx="576157" cy="576000"/>
        </a:xfrm>
        <a:prstGeom prst="rect">
          <a:avLst/>
        </a:prstGeom>
      </xdr:spPr>
    </xdr:pic>
    <xdr:clientData/>
  </xdr:twoCellAnchor>
  <xdr:twoCellAnchor>
    <xdr:from>
      <xdr:col>4</xdr:col>
      <xdr:colOff>354985</xdr:colOff>
      <xdr:row>39</xdr:row>
      <xdr:rowOff>17236</xdr:rowOff>
    </xdr:from>
    <xdr:to>
      <xdr:col>4</xdr:col>
      <xdr:colOff>930985</xdr:colOff>
      <xdr:row>39</xdr:row>
      <xdr:rowOff>593236</xdr:rowOff>
    </xdr:to>
    <xdr:pic>
      <xdr:nvPicPr>
        <xdr:cNvPr id="1941" name="Picture 1940">
          <a:extLst>
            <a:ext uri="{FF2B5EF4-FFF2-40B4-BE49-F238E27FC236}">
              <a16:creationId xmlns:a16="http://schemas.microsoft.com/office/drawing/2014/main" id="{BF3BCC5C-B42E-46E4-8DC7-511BD90A0D78}"/>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595111" y="112480272"/>
          <a:ext cx="576000" cy="576000"/>
        </a:xfrm>
        <a:prstGeom prst="rect">
          <a:avLst/>
        </a:prstGeom>
      </xdr:spPr>
    </xdr:pic>
    <xdr:clientData/>
  </xdr:twoCellAnchor>
  <xdr:twoCellAnchor>
    <xdr:from>
      <xdr:col>4</xdr:col>
      <xdr:colOff>363698</xdr:colOff>
      <xdr:row>42</xdr:row>
      <xdr:rowOff>17690</xdr:rowOff>
    </xdr:from>
    <xdr:to>
      <xdr:col>4</xdr:col>
      <xdr:colOff>939698</xdr:colOff>
      <xdr:row>42</xdr:row>
      <xdr:rowOff>593690</xdr:rowOff>
    </xdr:to>
    <xdr:pic>
      <xdr:nvPicPr>
        <xdr:cNvPr id="1942" name="Picture 1941">
          <a:extLst>
            <a:ext uri="{FF2B5EF4-FFF2-40B4-BE49-F238E27FC236}">
              <a16:creationId xmlns:a16="http://schemas.microsoft.com/office/drawing/2014/main" id="{C7BA2AE3-141F-4D8E-846C-67413B4789C5}"/>
            </a:ext>
          </a:extLst>
        </xdr:cNvPr>
        <xdr:cNvPicPr>
          <a:picLocks noChangeAspect="1"/>
        </xdr:cNvPicPr>
      </xdr:nvPicPr>
      <xdr:blipFill>
        <a:blip xmlns:r="http://schemas.openxmlformats.org/officeDocument/2006/relationships" r:embed="rId31"/>
        <a:stretch>
          <a:fillRect/>
        </a:stretch>
      </xdr:blipFill>
      <xdr:spPr>
        <a:xfrm>
          <a:off x="603824" y="134988541"/>
          <a:ext cx="576000" cy="576000"/>
        </a:xfrm>
        <a:prstGeom prst="rect">
          <a:avLst/>
        </a:prstGeom>
      </xdr:spPr>
    </xdr:pic>
    <xdr:clientData/>
  </xdr:twoCellAnchor>
  <xdr:twoCellAnchor>
    <xdr:from>
      <xdr:col>4</xdr:col>
      <xdr:colOff>358776</xdr:colOff>
      <xdr:row>41</xdr:row>
      <xdr:rowOff>16328</xdr:rowOff>
    </xdr:from>
    <xdr:to>
      <xdr:col>4</xdr:col>
      <xdr:colOff>933957</xdr:colOff>
      <xdr:row>41</xdr:row>
      <xdr:rowOff>592328</xdr:rowOff>
    </xdr:to>
    <xdr:pic>
      <xdr:nvPicPr>
        <xdr:cNvPr id="1943" name="Picture 1942">
          <a:extLst>
            <a:ext uri="{FF2B5EF4-FFF2-40B4-BE49-F238E27FC236}">
              <a16:creationId xmlns:a16="http://schemas.microsoft.com/office/drawing/2014/main" id="{BDE3F18F-246D-47C1-BE79-9AE70190D3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8902" y="134378860"/>
          <a:ext cx="575181" cy="576000"/>
        </a:xfrm>
        <a:prstGeom prst="rect">
          <a:avLst/>
        </a:prstGeom>
      </xdr:spPr>
    </xdr:pic>
    <xdr:clientData/>
  </xdr:twoCellAnchor>
  <xdr:twoCellAnchor>
    <xdr:from>
      <xdr:col>4</xdr:col>
      <xdr:colOff>363698</xdr:colOff>
      <xdr:row>43</xdr:row>
      <xdr:rowOff>17690</xdr:rowOff>
    </xdr:from>
    <xdr:to>
      <xdr:col>4</xdr:col>
      <xdr:colOff>939698</xdr:colOff>
      <xdr:row>43</xdr:row>
      <xdr:rowOff>593690</xdr:rowOff>
    </xdr:to>
    <xdr:pic>
      <xdr:nvPicPr>
        <xdr:cNvPr id="1944" name="Picture 1943">
          <a:extLst>
            <a:ext uri="{FF2B5EF4-FFF2-40B4-BE49-F238E27FC236}">
              <a16:creationId xmlns:a16="http://schemas.microsoft.com/office/drawing/2014/main" id="{2E9F2531-5457-4813-B7DF-D609CDB7CB9E}"/>
            </a:ext>
          </a:extLst>
        </xdr:cNvPr>
        <xdr:cNvPicPr>
          <a:picLocks noChangeAspect="1"/>
        </xdr:cNvPicPr>
      </xdr:nvPicPr>
      <xdr:blipFill>
        <a:blip xmlns:r="http://schemas.openxmlformats.org/officeDocument/2006/relationships" r:embed="rId31"/>
        <a:stretch>
          <a:fillRect/>
        </a:stretch>
      </xdr:blipFill>
      <xdr:spPr>
        <a:xfrm>
          <a:off x="3945578" y="15149633"/>
          <a:ext cx="576000" cy="576000"/>
        </a:xfrm>
        <a:prstGeom prst="rect">
          <a:avLst/>
        </a:prstGeom>
      </xdr:spPr>
    </xdr:pic>
    <xdr:clientData/>
  </xdr:twoCellAnchor>
  <xdr:twoCellAnchor>
    <xdr:from>
      <xdr:col>4</xdr:col>
      <xdr:colOff>376921</xdr:colOff>
      <xdr:row>46</xdr:row>
      <xdr:rowOff>12108</xdr:rowOff>
    </xdr:from>
    <xdr:to>
      <xdr:col>4</xdr:col>
      <xdr:colOff>951993</xdr:colOff>
      <xdr:row>46</xdr:row>
      <xdr:rowOff>588108</xdr:rowOff>
    </xdr:to>
    <xdr:pic>
      <xdr:nvPicPr>
        <xdr:cNvPr id="1945" name="Picture 1944">
          <a:extLst>
            <a:ext uri="{FF2B5EF4-FFF2-40B4-BE49-F238E27FC236}">
              <a16:creationId xmlns:a16="http://schemas.microsoft.com/office/drawing/2014/main" id="{FE0DECC2-33C5-45D1-B5DA-DDA48C3C47DA}"/>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617047" y="158099093"/>
          <a:ext cx="575072" cy="576000"/>
        </a:xfrm>
        <a:prstGeom prst="rect">
          <a:avLst/>
        </a:prstGeom>
        <a:noFill/>
      </xdr:spPr>
    </xdr:pic>
    <xdr:clientData/>
  </xdr:twoCellAnchor>
  <xdr:twoCellAnchor>
    <xdr:from>
      <xdr:col>4</xdr:col>
      <xdr:colOff>366796</xdr:colOff>
      <xdr:row>45</xdr:row>
      <xdr:rowOff>22676</xdr:rowOff>
    </xdr:from>
    <xdr:to>
      <xdr:col>4</xdr:col>
      <xdr:colOff>942796</xdr:colOff>
      <xdr:row>45</xdr:row>
      <xdr:rowOff>598676</xdr:rowOff>
    </xdr:to>
    <xdr:pic>
      <xdr:nvPicPr>
        <xdr:cNvPr id="1946" name="Picture 1945">
          <a:extLst>
            <a:ext uri="{FF2B5EF4-FFF2-40B4-BE49-F238E27FC236}">
              <a16:creationId xmlns:a16="http://schemas.microsoft.com/office/drawing/2014/main" id="{416C9F22-E5AB-4755-AF83-1E5B1E92821F}"/>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06922" y="157501342"/>
          <a:ext cx="576000" cy="576000"/>
        </a:xfrm>
        <a:prstGeom prst="rect">
          <a:avLst/>
        </a:prstGeom>
        <a:noFill/>
      </xdr:spPr>
    </xdr:pic>
    <xdr:clientData/>
  </xdr:twoCellAnchor>
  <xdr:twoCellAnchor>
    <xdr:from>
      <xdr:col>4</xdr:col>
      <xdr:colOff>366796</xdr:colOff>
      <xdr:row>44</xdr:row>
      <xdr:rowOff>22676</xdr:rowOff>
    </xdr:from>
    <xdr:to>
      <xdr:col>4</xdr:col>
      <xdr:colOff>942796</xdr:colOff>
      <xdr:row>44</xdr:row>
      <xdr:rowOff>598676</xdr:rowOff>
    </xdr:to>
    <xdr:pic>
      <xdr:nvPicPr>
        <xdr:cNvPr id="1947" name="Picture 1946">
          <a:extLst>
            <a:ext uri="{FF2B5EF4-FFF2-40B4-BE49-F238E27FC236}">
              <a16:creationId xmlns:a16="http://schemas.microsoft.com/office/drawing/2014/main" id="{94978E4F-49A2-4771-B759-7B07C30D22E7}"/>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6979577"/>
          <a:ext cx="576000" cy="576000"/>
        </a:xfrm>
        <a:prstGeom prst="rect">
          <a:avLst/>
        </a:prstGeom>
        <a:noFill/>
      </xdr:spPr>
    </xdr:pic>
    <xdr:clientData/>
  </xdr:twoCellAnchor>
  <xdr:twoCellAnchor>
    <xdr:from>
      <xdr:col>4</xdr:col>
      <xdr:colOff>385981</xdr:colOff>
      <xdr:row>48</xdr:row>
      <xdr:rowOff>21543</xdr:rowOff>
    </xdr:from>
    <xdr:to>
      <xdr:col>4</xdr:col>
      <xdr:colOff>961981</xdr:colOff>
      <xdr:row>48</xdr:row>
      <xdr:rowOff>597543</xdr:rowOff>
    </xdr:to>
    <xdr:pic>
      <xdr:nvPicPr>
        <xdr:cNvPr id="1948" name="Picture 1947" descr="hair protection">
          <a:extLst>
            <a:ext uri="{FF2B5EF4-FFF2-40B4-BE49-F238E27FC236}">
              <a16:creationId xmlns:a16="http://schemas.microsoft.com/office/drawing/2014/main" id="{BCB04E40-2B73-4B30-9257-2ECE15935A2F}"/>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6107" y="176358108"/>
          <a:ext cx="576000" cy="576000"/>
        </a:xfrm>
        <a:prstGeom prst="rect">
          <a:avLst/>
        </a:prstGeom>
        <a:noFill/>
        <a:ln>
          <a:noFill/>
        </a:ln>
      </xdr:spPr>
    </xdr:pic>
    <xdr:clientData/>
  </xdr:twoCellAnchor>
  <xdr:twoCellAnchor>
    <xdr:from>
      <xdr:col>4</xdr:col>
      <xdr:colOff>378200</xdr:colOff>
      <xdr:row>47</xdr:row>
      <xdr:rowOff>15874</xdr:rowOff>
    </xdr:from>
    <xdr:to>
      <xdr:col>4</xdr:col>
      <xdr:colOff>954200</xdr:colOff>
      <xdr:row>47</xdr:row>
      <xdr:rowOff>591874</xdr:rowOff>
    </xdr:to>
    <xdr:pic>
      <xdr:nvPicPr>
        <xdr:cNvPr id="1949" name="Picture 1948">
          <a:extLst>
            <a:ext uri="{FF2B5EF4-FFF2-40B4-BE49-F238E27FC236}">
              <a16:creationId xmlns:a16="http://schemas.microsoft.com/office/drawing/2014/main" id="{721A5D8E-1C3C-43EB-92EE-C4CB74958A1D}"/>
            </a:ext>
          </a:extLst>
        </xdr:cNvPr>
        <xdr:cNvPicPr>
          <a:picLocks noChangeAspect="1"/>
        </xdr:cNvPicPr>
      </xdr:nvPicPr>
      <xdr:blipFill>
        <a:blip xmlns:r="http://schemas.openxmlformats.org/officeDocument/2006/relationships" r:embed="rId14"/>
        <a:stretch>
          <a:fillRect/>
        </a:stretch>
      </xdr:blipFill>
      <xdr:spPr>
        <a:xfrm>
          <a:off x="618326" y="175744120"/>
          <a:ext cx="576000" cy="576000"/>
        </a:xfrm>
        <a:prstGeom prst="rect">
          <a:avLst/>
        </a:prstGeom>
      </xdr:spPr>
    </xdr:pic>
    <xdr:clientData/>
  </xdr:twoCellAnchor>
  <xdr:twoCellAnchor>
    <xdr:from>
      <xdr:col>4</xdr:col>
      <xdr:colOff>387002</xdr:colOff>
      <xdr:row>50</xdr:row>
      <xdr:rowOff>18540</xdr:rowOff>
    </xdr:from>
    <xdr:to>
      <xdr:col>4</xdr:col>
      <xdr:colOff>963002</xdr:colOff>
      <xdr:row>50</xdr:row>
      <xdr:rowOff>594540</xdr:rowOff>
    </xdr:to>
    <xdr:pic>
      <xdr:nvPicPr>
        <xdr:cNvPr id="1950" name="Picture 1949">
          <a:extLst>
            <a:ext uri="{FF2B5EF4-FFF2-40B4-BE49-F238E27FC236}">
              <a16:creationId xmlns:a16="http://schemas.microsoft.com/office/drawing/2014/main" id="{D62E8334-5065-4142-8F42-069DD63039CC}"/>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7128" y="186696534"/>
          <a:ext cx="576000" cy="576000"/>
        </a:xfrm>
        <a:prstGeom prst="rect">
          <a:avLst/>
        </a:prstGeom>
        <a:noFill/>
      </xdr:spPr>
    </xdr:pic>
    <xdr:clientData/>
  </xdr:twoCellAnchor>
  <xdr:twoCellAnchor>
    <xdr:from>
      <xdr:col>4</xdr:col>
      <xdr:colOff>382711</xdr:colOff>
      <xdr:row>49</xdr:row>
      <xdr:rowOff>23810</xdr:rowOff>
    </xdr:from>
    <xdr:to>
      <xdr:col>4</xdr:col>
      <xdr:colOff>958711</xdr:colOff>
      <xdr:row>49</xdr:row>
      <xdr:rowOff>599810</xdr:rowOff>
    </xdr:to>
    <xdr:pic>
      <xdr:nvPicPr>
        <xdr:cNvPr id="1951" name="Picture 1950" descr="head protection">
          <a:extLst>
            <a:ext uri="{FF2B5EF4-FFF2-40B4-BE49-F238E27FC236}">
              <a16:creationId xmlns:a16="http://schemas.microsoft.com/office/drawing/2014/main" id="{698C9A05-FA76-4261-87D2-2973F2026C4D}"/>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622837" y="186093484"/>
          <a:ext cx="576000" cy="576000"/>
        </a:xfrm>
        <a:prstGeom prst="rect">
          <a:avLst/>
        </a:prstGeom>
        <a:noFill/>
        <a:ln>
          <a:noFill/>
        </a:ln>
      </xdr:spPr>
    </xdr:pic>
    <xdr:clientData/>
  </xdr:twoCellAnchor>
  <xdr:twoCellAnchor>
    <xdr:from>
      <xdr:col>4</xdr:col>
      <xdr:colOff>385942</xdr:colOff>
      <xdr:row>52</xdr:row>
      <xdr:rowOff>20407</xdr:rowOff>
    </xdr:from>
    <xdr:to>
      <xdr:col>4</xdr:col>
      <xdr:colOff>961942</xdr:colOff>
      <xdr:row>52</xdr:row>
      <xdr:rowOff>596407</xdr:rowOff>
    </xdr:to>
    <xdr:pic>
      <xdr:nvPicPr>
        <xdr:cNvPr id="1952" name="Picture 1951">
          <a:extLst>
            <a:ext uri="{FF2B5EF4-FFF2-40B4-BE49-F238E27FC236}">
              <a16:creationId xmlns:a16="http://schemas.microsoft.com/office/drawing/2014/main" id="{8EC15F6D-4950-4DE9-ACD2-69D08F2BDCF2}"/>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626068" y="193998233"/>
          <a:ext cx="576000" cy="576000"/>
        </a:xfrm>
        <a:prstGeom prst="rect">
          <a:avLst/>
        </a:prstGeom>
        <a:noFill/>
        <a:ln>
          <a:noFill/>
        </a:ln>
      </xdr:spPr>
    </xdr:pic>
    <xdr:clientData/>
  </xdr:twoCellAnchor>
  <xdr:twoCellAnchor>
    <xdr:from>
      <xdr:col>4</xdr:col>
      <xdr:colOff>388649</xdr:colOff>
      <xdr:row>51</xdr:row>
      <xdr:rowOff>20411</xdr:rowOff>
    </xdr:from>
    <xdr:to>
      <xdr:col>4</xdr:col>
      <xdr:colOff>964649</xdr:colOff>
      <xdr:row>51</xdr:row>
      <xdr:rowOff>595416</xdr:rowOff>
    </xdr:to>
    <xdr:pic>
      <xdr:nvPicPr>
        <xdr:cNvPr id="1953" name="Picture 1952">
          <a:extLst>
            <a:ext uri="{FF2B5EF4-FFF2-40B4-BE49-F238E27FC236}">
              <a16:creationId xmlns:a16="http://schemas.microsoft.com/office/drawing/2014/main" id="{5DC05A60-024F-4043-BE58-5DB8B997707F}"/>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28775" y="193389917"/>
          <a:ext cx="576000" cy="575005"/>
        </a:xfrm>
        <a:prstGeom prst="rect">
          <a:avLst/>
        </a:prstGeom>
      </xdr:spPr>
    </xdr:pic>
    <xdr:clientData/>
  </xdr:twoCellAnchor>
  <xdr:twoCellAnchor>
    <xdr:from>
      <xdr:col>4</xdr:col>
      <xdr:colOff>380046</xdr:colOff>
      <xdr:row>54</xdr:row>
      <xdr:rowOff>18141</xdr:rowOff>
    </xdr:from>
    <xdr:to>
      <xdr:col>4</xdr:col>
      <xdr:colOff>956046</xdr:colOff>
      <xdr:row>54</xdr:row>
      <xdr:rowOff>594141</xdr:rowOff>
    </xdr:to>
    <xdr:pic>
      <xdr:nvPicPr>
        <xdr:cNvPr id="1954" name="Picture 1953" descr="safety vests">
          <a:extLst>
            <a:ext uri="{FF2B5EF4-FFF2-40B4-BE49-F238E27FC236}">
              <a16:creationId xmlns:a16="http://schemas.microsoft.com/office/drawing/2014/main" id="{1C8BC4F4-A17A-443F-B94F-E8BB49A94D33}"/>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620172" y="199470841"/>
          <a:ext cx="576000" cy="576000"/>
        </a:xfrm>
        <a:prstGeom prst="rect">
          <a:avLst/>
        </a:prstGeom>
        <a:noFill/>
        <a:ln>
          <a:noFill/>
        </a:ln>
      </xdr:spPr>
    </xdr:pic>
    <xdr:clientData/>
  </xdr:twoCellAnchor>
  <xdr:twoCellAnchor>
    <xdr:from>
      <xdr:col>4</xdr:col>
      <xdr:colOff>380202</xdr:colOff>
      <xdr:row>53</xdr:row>
      <xdr:rowOff>17010</xdr:rowOff>
    </xdr:from>
    <xdr:to>
      <xdr:col>4</xdr:col>
      <xdr:colOff>956202</xdr:colOff>
      <xdr:row>53</xdr:row>
      <xdr:rowOff>593010</xdr:rowOff>
    </xdr:to>
    <xdr:pic>
      <xdr:nvPicPr>
        <xdr:cNvPr id="1955" name="Picture 1954">
          <a:extLst>
            <a:ext uri="{FF2B5EF4-FFF2-40B4-BE49-F238E27FC236}">
              <a16:creationId xmlns:a16="http://schemas.microsoft.com/office/drawing/2014/main" id="{4C1CE2A0-C7A1-4D19-BCF0-D73A65C6FCC9}"/>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620328" y="198861390"/>
          <a:ext cx="576000" cy="576000"/>
        </a:xfrm>
        <a:prstGeom prst="rect">
          <a:avLst/>
        </a:prstGeom>
      </xdr:spPr>
    </xdr:pic>
    <xdr:clientData/>
  </xdr:twoCellAnchor>
  <xdr:twoCellAnchor>
    <xdr:from>
      <xdr:col>4</xdr:col>
      <xdr:colOff>457020</xdr:colOff>
      <xdr:row>57</xdr:row>
      <xdr:rowOff>30345</xdr:rowOff>
    </xdr:from>
    <xdr:to>
      <xdr:col>4</xdr:col>
      <xdr:colOff>889020</xdr:colOff>
      <xdr:row>57</xdr:row>
      <xdr:rowOff>452820</xdr:rowOff>
    </xdr:to>
    <xdr:pic>
      <xdr:nvPicPr>
        <xdr:cNvPr id="1956" name="Picture 1955">
          <a:extLst>
            <a:ext uri="{FF2B5EF4-FFF2-40B4-BE49-F238E27FC236}">
              <a16:creationId xmlns:a16="http://schemas.microsoft.com/office/drawing/2014/main" id="{8DDBA07E-743B-4714-8C1C-F1D592EEC301}"/>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98874725"/>
          <a:ext cx="432000" cy="422475"/>
        </a:xfrm>
        <a:prstGeom prst="rect">
          <a:avLst/>
        </a:prstGeom>
        <a:ln>
          <a:solidFill>
            <a:schemeClr val="tx1"/>
          </a:solidFill>
        </a:ln>
      </xdr:spPr>
    </xdr:pic>
    <xdr:clientData/>
  </xdr:twoCellAnchor>
  <xdr:twoCellAnchor>
    <xdr:from>
      <xdr:col>4</xdr:col>
      <xdr:colOff>404994</xdr:colOff>
      <xdr:row>57</xdr:row>
      <xdr:rowOff>30344</xdr:rowOff>
    </xdr:from>
    <xdr:to>
      <xdr:col>4</xdr:col>
      <xdr:colOff>944994</xdr:colOff>
      <xdr:row>57</xdr:row>
      <xdr:rowOff>570344</xdr:rowOff>
    </xdr:to>
    <xdr:pic>
      <xdr:nvPicPr>
        <xdr:cNvPr id="1957" name="Picture 1956">
          <a:extLst>
            <a:ext uri="{FF2B5EF4-FFF2-40B4-BE49-F238E27FC236}">
              <a16:creationId xmlns:a16="http://schemas.microsoft.com/office/drawing/2014/main" id="{0254F0CD-508B-4ECD-8811-C0364FA908F6}"/>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98874724"/>
          <a:ext cx="540000" cy="540000"/>
        </a:xfrm>
        <a:prstGeom prst="rect">
          <a:avLst/>
        </a:prstGeom>
        <a:ln>
          <a:solidFill>
            <a:schemeClr val="tx1"/>
          </a:solidFill>
        </a:ln>
      </xdr:spPr>
    </xdr:pic>
    <xdr:clientData/>
  </xdr:twoCellAnchor>
  <xdr:twoCellAnchor>
    <xdr:from>
      <xdr:col>4</xdr:col>
      <xdr:colOff>379338</xdr:colOff>
      <xdr:row>56</xdr:row>
      <xdr:rowOff>17007</xdr:rowOff>
    </xdr:from>
    <xdr:to>
      <xdr:col>4</xdr:col>
      <xdr:colOff>955338</xdr:colOff>
      <xdr:row>56</xdr:row>
      <xdr:rowOff>593007</xdr:rowOff>
    </xdr:to>
    <xdr:pic>
      <xdr:nvPicPr>
        <xdr:cNvPr id="1958" name="Picture 1957">
          <a:extLst>
            <a:ext uri="{FF2B5EF4-FFF2-40B4-BE49-F238E27FC236}">
              <a16:creationId xmlns:a16="http://schemas.microsoft.com/office/drawing/2014/main" id="{3E540498-AB2D-4C36-9ED6-F660BBDE522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98253068"/>
          <a:ext cx="576000" cy="576000"/>
        </a:xfrm>
        <a:prstGeom prst="rect">
          <a:avLst/>
        </a:prstGeom>
        <a:noFill/>
      </xdr:spPr>
    </xdr:pic>
    <xdr:clientData/>
  </xdr:twoCellAnchor>
  <xdr:twoCellAnchor>
    <xdr:from>
      <xdr:col>4</xdr:col>
      <xdr:colOff>380535</xdr:colOff>
      <xdr:row>55</xdr:row>
      <xdr:rowOff>17008</xdr:rowOff>
    </xdr:from>
    <xdr:to>
      <xdr:col>4</xdr:col>
      <xdr:colOff>956535</xdr:colOff>
      <xdr:row>55</xdr:row>
      <xdr:rowOff>593008</xdr:rowOff>
    </xdr:to>
    <xdr:pic>
      <xdr:nvPicPr>
        <xdr:cNvPr id="1959" name="Picture 1958">
          <a:extLst>
            <a:ext uri="{FF2B5EF4-FFF2-40B4-BE49-F238E27FC236}">
              <a16:creationId xmlns:a16="http://schemas.microsoft.com/office/drawing/2014/main" id="{214F07D3-E16E-4B38-9513-192E5E7944F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97644750"/>
          <a:ext cx="576000" cy="576000"/>
        </a:xfrm>
        <a:prstGeom prst="rect">
          <a:avLst/>
        </a:prstGeom>
      </xdr:spPr>
    </xdr:pic>
    <xdr:clientData/>
  </xdr:twoCellAnchor>
  <xdr:twoCellAnchor>
    <xdr:from>
      <xdr:col>4</xdr:col>
      <xdr:colOff>372916</xdr:colOff>
      <xdr:row>34</xdr:row>
      <xdr:rowOff>19050</xdr:rowOff>
    </xdr:from>
    <xdr:to>
      <xdr:col>4</xdr:col>
      <xdr:colOff>948916</xdr:colOff>
      <xdr:row>34</xdr:row>
      <xdr:rowOff>595050</xdr:rowOff>
    </xdr:to>
    <xdr:pic>
      <xdr:nvPicPr>
        <xdr:cNvPr id="1960" name="Picture 1959">
          <a:extLst>
            <a:ext uri="{FF2B5EF4-FFF2-40B4-BE49-F238E27FC236}">
              <a16:creationId xmlns:a16="http://schemas.microsoft.com/office/drawing/2014/main" id="{A1FB11EE-FE42-4DB2-9944-7A042B0E7E81}"/>
            </a:ext>
          </a:extLst>
        </xdr:cNvPr>
        <xdr:cNvPicPr>
          <a:picLocks noChangeAspect="1"/>
        </xdr:cNvPicPr>
      </xdr:nvPicPr>
      <xdr:blipFill>
        <a:blip xmlns:r="http://schemas.openxmlformats.org/officeDocument/2006/relationships" r:embed="rId37"/>
        <a:stretch>
          <a:fillRect/>
        </a:stretch>
      </xdr:blipFill>
      <xdr:spPr>
        <a:xfrm>
          <a:off x="613042" y="37658808"/>
          <a:ext cx="576000" cy="576000"/>
        </a:xfrm>
        <a:prstGeom prst="rect">
          <a:avLst/>
        </a:prstGeom>
      </xdr:spPr>
    </xdr:pic>
    <xdr:clientData/>
  </xdr:twoCellAnchor>
  <xdr:twoCellAnchor>
    <xdr:from>
      <xdr:col>4</xdr:col>
      <xdr:colOff>372462</xdr:colOff>
      <xdr:row>33</xdr:row>
      <xdr:rowOff>23583</xdr:rowOff>
    </xdr:from>
    <xdr:to>
      <xdr:col>4</xdr:col>
      <xdr:colOff>948462</xdr:colOff>
      <xdr:row>33</xdr:row>
      <xdr:rowOff>599583</xdr:rowOff>
    </xdr:to>
    <xdr:pic>
      <xdr:nvPicPr>
        <xdr:cNvPr id="1961" name="Picture 1960">
          <a:extLst>
            <a:ext uri="{FF2B5EF4-FFF2-40B4-BE49-F238E27FC236}">
              <a16:creationId xmlns:a16="http://schemas.microsoft.com/office/drawing/2014/main" id="{234B468D-BEBE-4DB0-88E6-20BDA0168051}"/>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612588" y="37055022"/>
          <a:ext cx="576000" cy="576000"/>
        </a:xfrm>
        <a:prstGeom prst="rect">
          <a:avLst/>
        </a:prstGeom>
      </xdr:spPr>
    </xdr:pic>
    <xdr:clientData/>
  </xdr:twoCellAnchor>
  <xdr:twoCellAnchor>
    <xdr:from>
      <xdr:col>4</xdr:col>
      <xdr:colOff>358454</xdr:colOff>
      <xdr:row>59</xdr:row>
      <xdr:rowOff>21635</xdr:rowOff>
    </xdr:from>
    <xdr:to>
      <xdr:col>4</xdr:col>
      <xdr:colOff>934454</xdr:colOff>
      <xdr:row>59</xdr:row>
      <xdr:rowOff>597635</xdr:rowOff>
    </xdr:to>
    <xdr:pic>
      <xdr:nvPicPr>
        <xdr:cNvPr id="1962" name="Picture 1961">
          <a:extLst>
            <a:ext uri="{FF2B5EF4-FFF2-40B4-BE49-F238E27FC236}">
              <a16:creationId xmlns:a16="http://schemas.microsoft.com/office/drawing/2014/main" id="{B096DABF-3224-4BC5-BE18-1F48EDA32C70}"/>
            </a:ext>
          </a:extLst>
        </xdr:cNvPr>
        <xdr:cNvPicPr>
          <a:picLocks noChangeAspect="1"/>
        </xdr:cNvPicPr>
      </xdr:nvPicPr>
      <xdr:blipFill>
        <a:blip xmlns:r="http://schemas.openxmlformats.org/officeDocument/2006/relationships" r:embed="rId11"/>
        <a:stretch>
          <a:fillRect/>
        </a:stretch>
      </xdr:blipFill>
      <xdr:spPr>
        <a:xfrm>
          <a:off x="3940334" y="12720301"/>
          <a:ext cx="576000" cy="576000"/>
        </a:xfrm>
        <a:prstGeom prst="rect">
          <a:avLst/>
        </a:prstGeom>
      </xdr:spPr>
    </xdr:pic>
    <xdr:clientData/>
  </xdr:twoCellAnchor>
  <xdr:twoCellAnchor>
    <xdr:from>
      <xdr:col>4</xdr:col>
      <xdr:colOff>368676</xdr:colOff>
      <xdr:row>58</xdr:row>
      <xdr:rowOff>23131</xdr:rowOff>
    </xdr:from>
    <xdr:to>
      <xdr:col>4</xdr:col>
      <xdr:colOff>944676</xdr:colOff>
      <xdr:row>58</xdr:row>
      <xdr:rowOff>599131</xdr:rowOff>
    </xdr:to>
    <xdr:pic>
      <xdr:nvPicPr>
        <xdr:cNvPr id="1963" name="Picture 1962">
          <a:extLst>
            <a:ext uri="{FF2B5EF4-FFF2-40B4-BE49-F238E27FC236}">
              <a16:creationId xmlns:a16="http://schemas.microsoft.com/office/drawing/2014/main" id="{AB0554C4-FD6E-4D72-BEAB-4657B2D737C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3950556" y="12113478"/>
          <a:ext cx="576000" cy="576000"/>
        </a:xfrm>
        <a:prstGeom prst="rect">
          <a:avLst/>
        </a:prstGeom>
        <a:noFill/>
        <a:ln>
          <a:noFill/>
        </a:ln>
      </xdr:spPr>
    </xdr:pic>
    <xdr:clientData/>
  </xdr:twoCellAnchor>
  <xdr:twoCellAnchor>
    <xdr:from>
      <xdr:col>4</xdr:col>
      <xdr:colOff>356055</xdr:colOff>
      <xdr:row>61</xdr:row>
      <xdr:rowOff>17235</xdr:rowOff>
    </xdr:from>
    <xdr:to>
      <xdr:col>4</xdr:col>
      <xdr:colOff>932212</xdr:colOff>
      <xdr:row>61</xdr:row>
      <xdr:rowOff>593235</xdr:rowOff>
    </xdr:to>
    <xdr:pic>
      <xdr:nvPicPr>
        <xdr:cNvPr id="1964" name="Picture 1963">
          <a:extLst>
            <a:ext uri="{FF2B5EF4-FFF2-40B4-BE49-F238E27FC236}">
              <a16:creationId xmlns:a16="http://schemas.microsoft.com/office/drawing/2014/main" id="{B4444D99-3971-43BF-AD33-2C039AE54C81}"/>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3937935" y="13932540"/>
          <a:ext cx="576157" cy="576000"/>
        </a:xfrm>
        <a:prstGeom prst="rect">
          <a:avLst/>
        </a:prstGeom>
      </xdr:spPr>
    </xdr:pic>
    <xdr:clientData/>
  </xdr:twoCellAnchor>
  <xdr:twoCellAnchor>
    <xdr:from>
      <xdr:col>4</xdr:col>
      <xdr:colOff>354985</xdr:colOff>
      <xdr:row>60</xdr:row>
      <xdr:rowOff>17236</xdr:rowOff>
    </xdr:from>
    <xdr:to>
      <xdr:col>4</xdr:col>
      <xdr:colOff>930985</xdr:colOff>
      <xdr:row>60</xdr:row>
      <xdr:rowOff>593236</xdr:rowOff>
    </xdr:to>
    <xdr:pic>
      <xdr:nvPicPr>
        <xdr:cNvPr id="1965" name="Picture 1964">
          <a:extLst>
            <a:ext uri="{FF2B5EF4-FFF2-40B4-BE49-F238E27FC236}">
              <a16:creationId xmlns:a16="http://schemas.microsoft.com/office/drawing/2014/main" id="{26E406AB-374F-492C-93C5-DC7537D3F6C9}"/>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3936865" y="13324221"/>
          <a:ext cx="576000" cy="576000"/>
        </a:xfrm>
        <a:prstGeom prst="rect">
          <a:avLst/>
        </a:prstGeom>
      </xdr:spPr>
    </xdr:pic>
    <xdr:clientData/>
  </xdr:twoCellAnchor>
  <xdr:twoCellAnchor>
    <xdr:from>
      <xdr:col>4</xdr:col>
      <xdr:colOff>363698</xdr:colOff>
      <xdr:row>63</xdr:row>
      <xdr:rowOff>17690</xdr:rowOff>
    </xdr:from>
    <xdr:to>
      <xdr:col>4</xdr:col>
      <xdr:colOff>939698</xdr:colOff>
      <xdr:row>63</xdr:row>
      <xdr:rowOff>593690</xdr:rowOff>
    </xdr:to>
    <xdr:pic>
      <xdr:nvPicPr>
        <xdr:cNvPr id="1966" name="Picture 1965">
          <a:extLst>
            <a:ext uri="{FF2B5EF4-FFF2-40B4-BE49-F238E27FC236}">
              <a16:creationId xmlns:a16="http://schemas.microsoft.com/office/drawing/2014/main" id="{3302EF58-1C30-45D6-839A-D2D008755776}"/>
            </a:ext>
          </a:extLst>
        </xdr:cNvPr>
        <xdr:cNvPicPr>
          <a:picLocks noChangeAspect="1"/>
        </xdr:cNvPicPr>
      </xdr:nvPicPr>
      <xdr:blipFill>
        <a:blip xmlns:r="http://schemas.openxmlformats.org/officeDocument/2006/relationships" r:embed="rId31"/>
        <a:stretch>
          <a:fillRect/>
        </a:stretch>
      </xdr:blipFill>
      <xdr:spPr>
        <a:xfrm>
          <a:off x="3945578" y="15149633"/>
          <a:ext cx="576000" cy="576000"/>
        </a:xfrm>
        <a:prstGeom prst="rect">
          <a:avLst/>
        </a:prstGeom>
      </xdr:spPr>
    </xdr:pic>
    <xdr:clientData/>
  </xdr:twoCellAnchor>
  <xdr:twoCellAnchor>
    <xdr:from>
      <xdr:col>4</xdr:col>
      <xdr:colOff>358776</xdr:colOff>
      <xdr:row>62</xdr:row>
      <xdr:rowOff>16328</xdr:rowOff>
    </xdr:from>
    <xdr:to>
      <xdr:col>4</xdr:col>
      <xdr:colOff>933957</xdr:colOff>
      <xdr:row>62</xdr:row>
      <xdr:rowOff>592328</xdr:rowOff>
    </xdr:to>
    <xdr:pic>
      <xdr:nvPicPr>
        <xdr:cNvPr id="1967" name="Picture 1966">
          <a:extLst>
            <a:ext uri="{FF2B5EF4-FFF2-40B4-BE49-F238E27FC236}">
              <a16:creationId xmlns:a16="http://schemas.microsoft.com/office/drawing/2014/main" id="{BE536F01-ADD3-4D9D-9FA3-5DEEF469C02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0656" y="14539952"/>
          <a:ext cx="575181" cy="576000"/>
        </a:xfrm>
        <a:prstGeom prst="rect">
          <a:avLst/>
        </a:prstGeom>
      </xdr:spPr>
    </xdr:pic>
    <xdr:clientData/>
  </xdr:twoCellAnchor>
  <xdr:twoCellAnchor>
    <xdr:from>
      <xdr:col>4</xdr:col>
      <xdr:colOff>363698</xdr:colOff>
      <xdr:row>64</xdr:row>
      <xdr:rowOff>17690</xdr:rowOff>
    </xdr:from>
    <xdr:to>
      <xdr:col>4</xdr:col>
      <xdr:colOff>939698</xdr:colOff>
      <xdr:row>64</xdr:row>
      <xdr:rowOff>593690</xdr:rowOff>
    </xdr:to>
    <xdr:pic>
      <xdr:nvPicPr>
        <xdr:cNvPr id="1968" name="Picture 1967">
          <a:extLst>
            <a:ext uri="{FF2B5EF4-FFF2-40B4-BE49-F238E27FC236}">
              <a16:creationId xmlns:a16="http://schemas.microsoft.com/office/drawing/2014/main" id="{C5721A4E-A465-4BA7-B224-C8B469E60343}"/>
            </a:ext>
          </a:extLst>
        </xdr:cNvPr>
        <xdr:cNvPicPr>
          <a:picLocks noChangeAspect="1"/>
        </xdr:cNvPicPr>
      </xdr:nvPicPr>
      <xdr:blipFill>
        <a:blip xmlns:r="http://schemas.openxmlformats.org/officeDocument/2006/relationships" r:embed="rId31"/>
        <a:stretch>
          <a:fillRect/>
        </a:stretch>
      </xdr:blipFill>
      <xdr:spPr>
        <a:xfrm>
          <a:off x="3945578" y="15757953"/>
          <a:ext cx="576000" cy="576000"/>
        </a:xfrm>
        <a:prstGeom prst="rect">
          <a:avLst/>
        </a:prstGeom>
      </xdr:spPr>
    </xdr:pic>
    <xdr:clientData/>
  </xdr:twoCellAnchor>
  <xdr:twoCellAnchor>
    <xdr:from>
      <xdr:col>4</xdr:col>
      <xdr:colOff>376921</xdr:colOff>
      <xdr:row>67</xdr:row>
      <xdr:rowOff>12108</xdr:rowOff>
    </xdr:from>
    <xdr:to>
      <xdr:col>4</xdr:col>
      <xdr:colOff>951993</xdr:colOff>
      <xdr:row>67</xdr:row>
      <xdr:rowOff>588108</xdr:rowOff>
    </xdr:to>
    <xdr:pic>
      <xdr:nvPicPr>
        <xdr:cNvPr id="1969" name="Picture 1968">
          <a:extLst>
            <a:ext uri="{FF2B5EF4-FFF2-40B4-BE49-F238E27FC236}">
              <a16:creationId xmlns:a16="http://schemas.microsoft.com/office/drawing/2014/main" id="{90E27B72-E8F5-4C2C-80A1-1B0486C30936}"/>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17577329"/>
          <a:ext cx="575072" cy="576000"/>
        </a:xfrm>
        <a:prstGeom prst="rect">
          <a:avLst/>
        </a:prstGeom>
        <a:noFill/>
      </xdr:spPr>
    </xdr:pic>
    <xdr:clientData/>
  </xdr:twoCellAnchor>
  <xdr:twoCellAnchor>
    <xdr:from>
      <xdr:col>4</xdr:col>
      <xdr:colOff>366796</xdr:colOff>
      <xdr:row>66</xdr:row>
      <xdr:rowOff>22676</xdr:rowOff>
    </xdr:from>
    <xdr:to>
      <xdr:col>4</xdr:col>
      <xdr:colOff>942796</xdr:colOff>
      <xdr:row>66</xdr:row>
      <xdr:rowOff>598676</xdr:rowOff>
    </xdr:to>
    <xdr:pic>
      <xdr:nvPicPr>
        <xdr:cNvPr id="1970" name="Picture 1969">
          <a:extLst>
            <a:ext uri="{FF2B5EF4-FFF2-40B4-BE49-F238E27FC236}">
              <a16:creationId xmlns:a16="http://schemas.microsoft.com/office/drawing/2014/main" id="{EB3B4DF1-BE93-4B0D-844D-3EA20E6E10A1}"/>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6979577"/>
          <a:ext cx="576000" cy="576000"/>
        </a:xfrm>
        <a:prstGeom prst="rect">
          <a:avLst/>
        </a:prstGeom>
        <a:noFill/>
      </xdr:spPr>
    </xdr:pic>
    <xdr:clientData/>
  </xdr:twoCellAnchor>
  <xdr:twoCellAnchor>
    <xdr:from>
      <xdr:col>4</xdr:col>
      <xdr:colOff>366796</xdr:colOff>
      <xdr:row>65</xdr:row>
      <xdr:rowOff>22676</xdr:rowOff>
    </xdr:from>
    <xdr:to>
      <xdr:col>4</xdr:col>
      <xdr:colOff>942796</xdr:colOff>
      <xdr:row>65</xdr:row>
      <xdr:rowOff>598676</xdr:rowOff>
    </xdr:to>
    <xdr:pic>
      <xdr:nvPicPr>
        <xdr:cNvPr id="1971" name="Picture 1970">
          <a:extLst>
            <a:ext uri="{FF2B5EF4-FFF2-40B4-BE49-F238E27FC236}">
              <a16:creationId xmlns:a16="http://schemas.microsoft.com/office/drawing/2014/main" id="{7D3FCD9B-6D90-4AA8-85F7-50B5D45E2428}"/>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6371258"/>
          <a:ext cx="576000" cy="576000"/>
        </a:xfrm>
        <a:prstGeom prst="rect">
          <a:avLst/>
        </a:prstGeom>
        <a:noFill/>
      </xdr:spPr>
    </xdr:pic>
    <xdr:clientData/>
  </xdr:twoCellAnchor>
  <xdr:twoCellAnchor>
    <xdr:from>
      <xdr:col>4</xdr:col>
      <xdr:colOff>385981</xdr:colOff>
      <xdr:row>69</xdr:row>
      <xdr:rowOff>21543</xdr:rowOff>
    </xdr:from>
    <xdr:to>
      <xdr:col>4</xdr:col>
      <xdr:colOff>961981</xdr:colOff>
      <xdr:row>69</xdr:row>
      <xdr:rowOff>597543</xdr:rowOff>
    </xdr:to>
    <xdr:pic>
      <xdr:nvPicPr>
        <xdr:cNvPr id="1972" name="Picture 1971" descr="hair protection">
          <a:extLst>
            <a:ext uri="{FF2B5EF4-FFF2-40B4-BE49-F238E27FC236}">
              <a16:creationId xmlns:a16="http://schemas.microsoft.com/office/drawing/2014/main" id="{B58FE44A-5622-43B4-A521-572252FAEC64}"/>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8803402"/>
          <a:ext cx="576000" cy="576000"/>
        </a:xfrm>
        <a:prstGeom prst="rect">
          <a:avLst/>
        </a:prstGeom>
        <a:noFill/>
        <a:ln>
          <a:noFill/>
        </a:ln>
      </xdr:spPr>
    </xdr:pic>
    <xdr:clientData/>
  </xdr:twoCellAnchor>
  <xdr:twoCellAnchor>
    <xdr:from>
      <xdr:col>4</xdr:col>
      <xdr:colOff>378200</xdr:colOff>
      <xdr:row>68</xdr:row>
      <xdr:rowOff>15874</xdr:rowOff>
    </xdr:from>
    <xdr:to>
      <xdr:col>4</xdr:col>
      <xdr:colOff>954200</xdr:colOff>
      <xdr:row>68</xdr:row>
      <xdr:rowOff>591874</xdr:rowOff>
    </xdr:to>
    <xdr:pic>
      <xdr:nvPicPr>
        <xdr:cNvPr id="1973" name="Picture 1972">
          <a:extLst>
            <a:ext uri="{FF2B5EF4-FFF2-40B4-BE49-F238E27FC236}">
              <a16:creationId xmlns:a16="http://schemas.microsoft.com/office/drawing/2014/main" id="{4F45B658-B836-49E9-AD6A-6C0FEEF902D8}"/>
            </a:ext>
          </a:extLst>
        </xdr:cNvPr>
        <xdr:cNvPicPr>
          <a:picLocks noChangeAspect="1"/>
        </xdr:cNvPicPr>
      </xdr:nvPicPr>
      <xdr:blipFill>
        <a:blip xmlns:r="http://schemas.openxmlformats.org/officeDocument/2006/relationships" r:embed="rId14"/>
        <a:stretch>
          <a:fillRect/>
        </a:stretch>
      </xdr:blipFill>
      <xdr:spPr>
        <a:xfrm>
          <a:off x="3960080" y="18189414"/>
          <a:ext cx="576000" cy="576000"/>
        </a:xfrm>
        <a:prstGeom prst="rect">
          <a:avLst/>
        </a:prstGeom>
      </xdr:spPr>
    </xdr:pic>
    <xdr:clientData/>
  </xdr:twoCellAnchor>
  <xdr:twoCellAnchor>
    <xdr:from>
      <xdr:col>4</xdr:col>
      <xdr:colOff>387002</xdr:colOff>
      <xdr:row>71</xdr:row>
      <xdr:rowOff>18540</xdr:rowOff>
    </xdr:from>
    <xdr:to>
      <xdr:col>4</xdr:col>
      <xdr:colOff>963002</xdr:colOff>
      <xdr:row>71</xdr:row>
      <xdr:rowOff>594540</xdr:rowOff>
    </xdr:to>
    <xdr:pic>
      <xdr:nvPicPr>
        <xdr:cNvPr id="1974" name="Picture 1973">
          <a:extLst>
            <a:ext uri="{FF2B5EF4-FFF2-40B4-BE49-F238E27FC236}">
              <a16:creationId xmlns:a16="http://schemas.microsoft.com/office/drawing/2014/main" id="{7F09D2C0-EC6D-4407-A9F7-DB8E6D7C565E}"/>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20017038"/>
          <a:ext cx="576000" cy="576000"/>
        </a:xfrm>
        <a:prstGeom prst="rect">
          <a:avLst/>
        </a:prstGeom>
        <a:noFill/>
      </xdr:spPr>
    </xdr:pic>
    <xdr:clientData/>
  </xdr:twoCellAnchor>
  <xdr:twoCellAnchor>
    <xdr:from>
      <xdr:col>4</xdr:col>
      <xdr:colOff>382711</xdr:colOff>
      <xdr:row>70</xdr:row>
      <xdr:rowOff>23810</xdr:rowOff>
    </xdr:from>
    <xdr:to>
      <xdr:col>4</xdr:col>
      <xdr:colOff>958711</xdr:colOff>
      <xdr:row>70</xdr:row>
      <xdr:rowOff>599810</xdr:rowOff>
    </xdr:to>
    <xdr:pic>
      <xdr:nvPicPr>
        <xdr:cNvPr id="1975" name="Picture 1974" descr="head protection">
          <a:extLst>
            <a:ext uri="{FF2B5EF4-FFF2-40B4-BE49-F238E27FC236}">
              <a16:creationId xmlns:a16="http://schemas.microsoft.com/office/drawing/2014/main" id="{016E7510-AE48-40CD-BC7B-D2B5D249FE17}"/>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9413989"/>
          <a:ext cx="576000" cy="576000"/>
        </a:xfrm>
        <a:prstGeom prst="rect">
          <a:avLst/>
        </a:prstGeom>
        <a:noFill/>
        <a:ln>
          <a:noFill/>
        </a:ln>
      </xdr:spPr>
    </xdr:pic>
    <xdr:clientData/>
  </xdr:twoCellAnchor>
  <xdr:twoCellAnchor>
    <xdr:from>
      <xdr:col>4</xdr:col>
      <xdr:colOff>385942</xdr:colOff>
      <xdr:row>73</xdr:row>
      <xdr:rowOff>20407</xdr:rowOff>
    </xdr:from>
    <xdr:to>
      <xdr:col>4</xdr:col>
      <xdr:colOff>961942</xdr:colOff>
      <xdr:row>73</xdr:row>
      <xdr:rowOff>596407</xdr:rowOff>
    </xdr:to>
    <xdr:pic>
      <xdr:nvPicPr>
        <xdr:cNvPr id="1976" name="Picture 1975">
          <a:extLst>
            <a:ext uri="{FF2B5EF4-FFF2-40B4-BE49-F238E27FC236}">
              <a16:creationId xmlns:a16="http://schemas.microsoft.com/office/drawing/2014/main" id="{E9154425-96CF-47CC-BFEE-F0F8B9596992}"/>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21235544"/>
          <a:ext cx="576000" cy="576000"/>
        </a:xfrm>
        <a:prstGeom prst="rect">
          <a:avLst/>
        </a:prstGeom>
        <a:noFill/>
        <a:ln>
          <a:noFill/>
        </a:ln>
      </xdr:spPr>
    </xdr:pic>
    <xdr:clientData/>
  </xdr:twoCellAnchor>
  <xdr:twoCellAnchor>
    <xdr:from>
      <xdr:col>4</xdr:col>
      <xdr:colOff>388649</xdr:colOff>
      <xdr:row>72</xdr:row>
      <xdr:rowOff>20411</xdr:rowOff>
    </xdr:from>
    <xdr:to>
      <xdr:col>4</xdr:col>
      <xdr:colOff>964649</xdr:colOff>
      <xdr:row>72</xdr:row>
      <xdr:rowOff>595416</xdr:rowOff>
    </xdr:to>
    <xdr:pic>
      <xdr:nvPicPr>
        <xdr:cNvPr id="1977" name="Picture 1976">
          <a:extLst>
            <a:ext uri="{FF2B5EF4-FFF2-40B4-BE49-F238E27FC236}">
              <a16:creationId xmlns:a16="http://schemas.microsoft.com/office/drawing/2014/main" id="{345A1469-02BE-4187-B027-B1330024A7E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20627228"/>
          <a:ext cx="576000" cy="575005"/>
        </a:xfrm>
        <a:prstGeom prst="rect">
          <a:avLst/>
        </a:prstGeom>
      </xdr:spPr>
    </xdr:pic>
    <xdr:clientData/>
  </xdr:twoCellAnchor>
  <xdr:twoCellAnchor>
    <xdr:from>
      <xdr:col>4</xdr:col>
      <xdr:colOff>380046</xdr:colOff>
      <xdr:row>75</xdr:row>
      <xdr:rowOff>18141</xdr:rowOff>
    </xdr:from>
    <xdr:to>
      <xdr:col>4</xdr:col>
      <xdr:colOff>956046</xdr:colOff>
      <xdr:row>75</xdr:row>
      <xdr:rowOff>594141</xdr:rowOff>
    </xdr:to>
    <xdr:pic>
      <xdr:nvPicPr>
        <xdr:cNvPr id="1978" name="Picture 1977" descr="safety vests">
          <a:extLst>
            <a:ext uri="{FF2B5EF4-FFF2-40B4-BE49-F238E27FC236}">
              <a16:creationId xmlns:a16="http://schemas.microsoft.com/office/drawing/2014/main" id="{ED8E9DFD-9975-4B05-8F39-C5400F11C5A0}"/>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22449916"/>
          <a:ext cx="576000" cy="576000"/>
        </a:xfrm>
        <a:prstGeom prst="rect">
          <a:avLst/>
        </a:prstGeom>
        <a:noFill/>
        <a:ln>
          <a:noFill/>
        </a:ln>
      </xdr:spPr>
    </xdr:pic>
    <xdr:clientData/>
  </xdr:twoCellAnchor>
  <xdr:twoCellAnchor>
    <xdr:from>
      <xdr:col>4</xdr:col>
      <xdr:colOff>380202</xdr:colOff>
      <xdr:row>74</xdr:row>
      <xdr:rowOff>17010</xdr:rowOff>
    </xdr:from>
    <xdr:to>
      <xdr:col>4</xdr:col>
      <xdr:colOff>956202</xdr:colOff>
      <xdr:row>74</xdr:row>
      <xdr:rowOff>593010</xdr:rowOff>
    </xdr:to>
    <xdr:pic>
      <xdr:nvPicPr>
        <xdr:cNvPr id="1979" name="Picture 1978">
          <a:extLst>
            <a:ext uri="{FF2B5EF4-FFF2-40B4-BE49-F238E27FC236}">
              <a16:creationId xmlns:a16="http://schemas.microsoft.com/office/drawing/2014/main" id="{EC5E5261-1C34-4835-9985-02F792221748}"/>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21840466"/>
          <a:ext cx="576000" cy="576000"/>
        </a:xfrm>
        <a:prstGeom prst="rect">
          <a:avLst/>
        </a:prstGeom>
      </xdr:spPr>
    </xdr:pic>
    <xdr:clientData/>
  </xdr:twoCellAnchor>
  <xdr:twoCellAnchor>
    <xdr:from>
      <xdr:col>4</xdr:col>
      <xdr:colOff>457020</xdr:colOff>
      <xdr:row>78</xdr:row>
      <xdr:rowOff>30345</xdr:rowOff>
    </xdr:from>
    <xdr:to>
      <xdr:col>4</xdr:col>
      <xdr:colOff>889020</xdr:colOff>
      <xdr:row>78</xdr:row>
      <xdr:rowOff>452820</xdr:rowOff>
    </xdr:to>
    <xdr:pic>
      <xdr:nvPicPr>
        <xdr:cNvPr id="1980" name="Picture 1979">
          <a:extLst>
            <a:ext uri="{FF2B5EF4-FFF2-40B4-BE49-F238E27FC236}">
              <a16:creationId xmlns:a16="http://schemas.microsoft.com/office/drawing/2014/main" id="{737B3C1F-ACFC-45D7-933D-214E2C7889D1}"/>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24287078"/>
          <a:ext cx="432000" cy="422475"/>
        </a:xfrm>
        <a:prstGeom prst="rect">
          <a:avLst/>
        </a:prstGeom>
        <a:ln>
          <a:solidFill>
            <a:schemeClr val="tx1"/>
          </a:solidFill>
        </a:ln>
      </xdr:spPr>
    </xdr:pic>
    <xdr:clientData/>
  </xdr:twoCellAnchor>
  <xdr:twoCellAnchor>
    <xdr:from>
      <xdr:col>4</xdr:col>
      <xdr:colOff>404994</xdr:colOff>
      <xdr:row>78</xdr:row>
      <xdr:rowOff>30344</xdr:rowOff>
    </xdr:from>
    <xdr:to>
      <xdr:col>4</xdr:col>
      <xdr:colOff>944994</xdr:colOff>
      <xdr:row>78</xdr:row>
      <xdr:rowOff>570344</xdr:rowOff>
    </xdr:to>
    <xdr:pic>
      <xdr:nvPicPr>
        <xdr:cNvPr id="1981" name="Picture 1980">
          <a:extLst>
            <a:ext uri="{FF2B5EF4-FFF2-40B4-BE49-F238E27FC236}">
              <a16:creationId xmlns:a16="http://schemas.microsoft.com/office/drawing/2014/main" id="{7B3A6112-59B7-4E56-8A66-7FD144C64D1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24287077"/>
          <a:ext cx="540000" cy="540000"/>
        </a:xfrm>
        <a:prstGeom prst="rect">
          <a:avLst/>
        </a:prstGeom>
        <a:ln>
          <a:solidFill>
            <a:schemeClr val="tx1"/>
          </a:solidFill>
        </a:ln>
      </xdr:spPr>
    </xdr:pic>
    <xdr:clientData/>
  </xdr:twoCellAnchor>
  <xdr:twoCellAnchor>
    <xdr:from>
      <xdr:col>4</xdr:col>
      <xdr:colOff>379338</xdr:colOff>
      <xdr:row>77</xdr:row>
      <xdr:rowOff>17007</xdr:rowOff>
    </xdr:from>
    <xdr:to>
      <xdr:col>4</xdr:col>
      <xdr:colOff>955338</xdr:colOff>
      <xdr:row>77</xdr:row>
      <xdr:rowOff>593007</xdr:rowOff>
    </xdr:to>
    <xdr:pic>
      <xdr:nvPicPr>
        <xdr:cNvPr id="1982" name="Picture 1981">
          <a:extLst>
            <a:ext uri="{FF2B5EF4-FFF2-40B4-BE49-F238E27FC236}">
              <a16:creationId xmlns:a16="http://schemas.microsoft.com/office/drawing/2014/main" id="{9E94598A-05DB-44DE-B2F0-98183C6D928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23665421"/>
          <a:ext cx="576000" cy="576000"/>
        </a:xfrm>
        <a:prstGeom prst="rect">
          <a:avLst/>
        </a:prstGeom>
        <a:noFill/>
      </xdr:spPr>
    </xdr:pic>
    <xdr:clientData/>
  </xdr:twoCellAnchor>
  <xdr:twoCellAnchor>
    <xdr:from>
      <xdr:col>4</xdr:col>
      <xdr:colOff>380535</xdr:colOff>
      <xdr:row>76</xdr:row>
      <xdr:rowOff>17008</xdr:rowOff>
    </xdr:from>
    <xdr:to>
      <xdr:col>4</xdr:col>
      <xdr:colOff>956535</xdr:colOff>
      <xdr:row>76</xdr:row>
      <xdr:rowOff>593008</xdr:rowOff>
    </xdr:to>
    <xdr:pic>
      <xdr:nvPicPr>
        <xdr:cNvPr id="1983" name="Picture 1982">
          <a:extLst>
            <a:ext uri="{FF2B5EF4-FFF2-40B4-BE49-F238E27FC236}">
              <a16:creationId xmlns:a16="http://schemas.microsoft.com/office/drawing/2014/main" id="{8AC00819-4423-43A3-A20E-003510C0154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23057103"/>
          <a:ext cx="576000" cy="576000"/>
        </a:xfrm>
        <a:prstGeom prst="rect">
          <a:avLst/>
        </a:prstGeom>
      </xdr:spPr>
    </xdr:pic>
    <xdr:clientData/>
  </xdr:twoCellAnchor>
  <xdr:twoCellAnchor>
    <xdr:from>
      <xdr:col>4</xdr:col>
      <xdr:colOff>358454</xdr:colOff>
      <xdr:row>80</xdr:row>
      <xdr:rowOff>21635</xdr:rowOff>
    </xdr:from>
    <xdr:to>
      <xdr:col>4</xdr:col>
      <xdr:colOff>934454</xdr:colOff>
      <xdr:row>80</xdr:row>
      <xdr:rowOff>597635</xdr:rowOff>
    </xdr:to>
    <xdr:pic>
      <xdr:nvPicPr>
        <xdr:cNvPr id="1984" name="Picture 1983">
          <a:extLst>
            <a:ext uri="{FF2B5EF4-FFF2-40B4-BE49-F238E27FC236}">
              <a16:creationId xmlns:a16="http://schemas.microsoft.com/office/drawing/2014/main" id="{96D82500-A922-41DF-987C-83E14BCE3929}"/>
            </a:ext>
          </a:extLst>
        </xdr:cNvPr>
        <xdr:cNvPicPr>
          <a:picLocks noChangeAspect="1"/>
        </xdr:cNvPicPr>
      </xdr:nvPicPr>
      <xdr:blipFill>
        <a:blip xmlns:r="http://schemas.openxmlformats.org/officeDocument/2006/relationships" r:embed="rId11"/>
        <a:stretch>
          <a:fillRect/>
        </a:stretch>
      </xdr:blipFill>
      <xdr:spPr>
        <a:xfrm>
          <a:off x="3940334" y="25495007"/>
          <a:ext cx="576000" cy="576000"/>
        </a:xfrm>
        <a:prstGeom prst="rect">
          <a:avLst/>
        </a:prstGeom>
      </xdr:spPr>
    </xdr:pic>
    <xdr:clientData/>
  </xdr:twoCellAnchor>
  <xdr:twoCellAnchor>
    <xdr:from>
      <xdr:col>4</xdr:col>
      <xdr:colOff>368676</xdr:colOff>
      <xdr:row>79</xdr:row>
      <xdr:rowOff>23131</xdr:rowOff>
    </xdr:from>
    <xdr:to>
      <xdr:col>4</xdr:col>
      <xdr:colOff>944676</xdr:colOff>
      <xdr:row>79</xdr:row>
      <xdr:rowOff>599131</xdr:rowOff>
    </xdr:to>
    <xdr:pic>
      <xdr:nvPicPr>
        <xdr:cNvPr id="1985" name="Picture 1984">
          <a:extLst>
            <a:ext uri="{FF2B5EF4-FFF2-40B4-BE49-F238E27FC236}">
              <a16:creationId xmlns:a16="http://schemas.microsoft.com/office/drawing/2014/main" id="{37B7DD7A-E9C2-44C1-8BB9-4E6BDD65581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3950556" y="24888184"/>
          <a:ext cx="576000" cy="576000"/>
        </a:xfrm>
        <a:prstGeom prst="rect">
          <a:avLst/>
        </a:prstGeom>
        <a:noFill/>
        <a:ln>
          <a:noFill/>
        </a:ln>
      </xdr:spPr>
    </xdr:pic>
    <xdr:clientData/>
  </xdr:twoCellAnchor>
  <xdr:twoCellAnchor>
    <xdr:from>
      <xdr:col>4</xdr:col>
      <xdr:colOff>356055</xdr:colOff>
      <xdr:row>82</xdr:row>
      <xdr:rowOff>17235</xdr:rowOff>
    </xdr:from>
    <xdr:to>
      <xdr:col>4</xdr:col>
      <xdr:colOff>932212</xdr:colOff>
      <xdr:row>82</xdr:row>
      <xdr:rowOff>593235</xdr:rowOff>
    </xdr:to>
    <xdr:pic>
      <xdr:nvPicPr>
        <xdr:cNvPr id="1986" name="Picture 1985">
          <a:extLst>
            <a:ext uri="{FF2B5EF4-FFF2-40B4-BE49-F238E27FC236}">
              <a16:creationId xmlns:a16="http://schemas.microsoft.com/office/drawing/2014/main" id="{5B6B9825-F860-4477-A662-0411636BEF28}"/>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3937935" y="26707246"/>
          <a:ext cx="576157" cy="576000"/>
        </a:xfrm>
        <a:prstGeom prst="rect">
          <a:avLst/>
        </a:prstGeom>
      </xdr:spPr>
    </xdr:pic>
    <xdr:clientData/>
  </xdr:twoCellAnchor>
  <xdr:twoCellAnchor>
    <xdr:from>
      <xdr:col>4</xdr:col>
      <xdr:colOff>354985</xdr:colOff>
      <xdr:row>81</xdr:row>
      <xdr:rowOff>17236</xdr:rowOff>
    </xdr:from>
    <xdr:to>
      <xdr:col>4</xdr:col>
      <xdr:colOff>930985</xdr:colOff>
      <xdr:row>81</xdr:row>
      <xdr:rowOff>593236</xdr:rowOff>
    </xdr:to>
    <xdr:pic>
      <xdr:nvPicPr>
        <xdr:cNvPr id="1987" name="Picture 1986">
          <a:extLst>
            <a:ext uri="{FF2B5EF4-FFF2-40B4-BE49-F238E27FC236}">
              <a16:creationId xmlns:a16="http://schemas.microsoft.com/office/drawing/2014/main" id="{20FBD8C5-5A83-4E5B-8058-A46F2B5EA062}"/>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3936865" y="26098927"/>
          <a:ext cx="576000" cy="576000"/>
        </a:xfrm>
        <a:prstGeom prst="rect">
          <a:avLst/>
        </a:prstGeom>
      </xdr:spPr>
    </xdr:pic>
    <xdr:clientData/>
  </xdr:twoCellAnchor>
  <xdr:twoCellAnchor>
    <xdr:from>
      <xdr:col>4</xdr:col>
      <xdr:colOff>363698</xdr:colOff>
      <xdr:row>84</xdr:row>
      <xdr:rowOff>17690</xdr:rowOff>
    </xdr:from>
    <xdr:to>
      <xdr:col>4</xdr:col>
      <xdr:colOff>939698</xdr:colOff>
      <xdr:row>84</xdr:row>
      <xdr:rowOff>593690</xdr:rowOff>
    </xdr:to>
    <xdr:pic>
      <xdr:nvPicPr>
        <xdr:cNvPr id="1988" name="Picture 1987">
          <a:extLst>
            <a:ext uri="{FF2B5EF4-FFF2-40B4-BE49-F238E27FC236}">
              <a16:creationId xmlns:a16="http://schemas.microsoft.com/office/drawing/2014/main" id="{018A6747-75F6-4F23-B59A-60DF6F019C5F}"/>
            </a:ext>
          </a:extLst>
        </xdr:cNvPr>
        <xdr:cNvPicPr>
          <a:picLocks noChangeAspect="1"/>
        </xdr:cNvPicPr>
      </xdr:nvPicPr>
      <xdr:blipFill>
        <a:blip xmlns:r="http://schemas.openxmlformats.org/officeDocument/2006/relationships" r:embed="rId31"/>
        <a:stretch>
          <a:fillRect/>
        </a:stretch>
      </xdr:blipFill>
      <xdr:spPr>
        <a:xfrm>
          <a:off x="3945578" y="27924339"/>
          <a:ext cx="576000" cy="576000"/>
        </a:xfrm>
        <a:prstGeom prst="rect">
          <a:avLst/>
        </a:prstGeom>
      </xdr:spPr>
    </xdr:pic>
    <xdr:clientData/>
  </xdr:twoCellAnchor>
  <xdr:twoCellAnchor>
    <xdr:from>
      <xdr:col>4</xdr:col>
      <xdr:colOff>358776</xdr:colOff>
      <xdr:row>83</xdr:row>
      <xdr:rowOff>16328</xdr:rowOff>
    </xdr:from>
    <xdr:to>
      <xdr:col>4</xdr:col>
      <xdr:colOff>933957</xdr:colOff>
      <xdr:row>83</xdr:row>
      <xdr:rowOff>592328</xdr:rowOff>
    </xdr:to>
    <xdr:pic>
      <xdr:nvPicPr>
        <xdr:cNvPr id="1989" name="Picture 1988">
          <a:extLst>
            <a:ext uri="{FF2B5EF4-FFF2-40B4-BE49-F238E27FC236}">
              <a16:creationId xmlns:a16="http://schemas.microsoft.com/office/drawing/2014/main" id="{AAA63680-F498-4713-867E-AED7E52197F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0656" y="27314658"/>
          <a:ext cx="575181" cy="576000"/>
        </a:xfrm>
        <a:prstGeom prst="rect">
          <a:avLst/>
        </a:prstGeom>
      </xdr:spPr>
    </xdr:pic>
    <xdr:clientData/>
  </xdr:twoCellAnchor>
  <xdr:twoCellAnchor>
    <xdr:from>
      <xdr:col>4</xdr:col>
      <xdr:colOff>363698</xdr:colOff>
      <xdr:row>85</xdr:row>
      <xdr:rowOff>17690</xdr:rowOff>
    </xdr:from>
    <xdr:to>
      <xdr:col>4</xdr:col>
      <xdr:colOff>939698</xdr:colOff>
      <xdr:row>85</xdr:row>
      <xdr:rowOff>593690</xdr:rowOff>
    </xdr:to>
    <xdr:pic>
      <xdr:nvPicPr>
        <xdr:cNvPr id="1990" name="Picture 1989">
          <a:extLst>
            <a:ext uri="{FF2B5EF4-FFF2-40B4-BE49-F238E27FC236}">
              <a16:creationId xmlns:a16="http://schemas.microsoft.com/office/drawing/2014/main" id="{E50D6A8D-659E-4E6F-B670-55939E9DFF81}"/>
            </a:ext>
          </a:extLst>
        </xdr:cNvPr>
        <xdr:cNvPicPr>
          <a:picLocks noChangeAspect="1"/>
        </xdr:cNvPicPr>
      </xdr:nvPicPr>
      <xdr:blipFill>
        <a:blip xmlns:r="http://schemas.openxmlformats.org/officeDocument/2006/relationships" r:embed="rId31"/>
        <a:stretch>
          <a:fillRect/>
        </a:stretch>
      </xdr:blipFill>
      <xdr:spPr>
        <a:xfrm>
          <a:off x="3945578" y="28532658"/>
          <a:ext cx="576000" cy="576000"/>
        </a:xfrm>
        <a:prstGeom prst="rect">
          <a:avLst/>
        </a:prstGeom>
      </xdr:spPr>
    </xdr:pic>
    <xdr:clientData/>
  </xdr:twoCellAnchor>
  <xdr:twoCellAnchor>
    <xdr:from>
      <xdr:col>4</xdr:col>
      <xdr:colOff>376921</xdr:colOff>
      <xdr:row>88</xdr:row>
      <xdr:rowOff>12108</xdr:rowOff>
    </xdr:from>
    <xdr:to>
      <xdr:col>4</xdr:col>
      <xdr:colOff>951993</xdr:colOff>
      <xdr:row>88</xdr:row>
      <xdr:rowOff>588108</xdr:rowOff>
    </xdr:to>
    <xdr:pic>
      <xdr:nvPicPr>
        <xdr:cNvPr id="1991" name="Picture 1990">
          <a:extLst>
            <a:ext uri="{FF2B5EF4-FFF2-40B4-BE49-F238E27FC236}">
              <a16:creationId xmlns:a16="http://schemas.microsoft.com/office/drawing/2014/main" id="{32456B58-3B6E-4D22-9294-541D8FA5A221}"/>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30352034"/>
          <a:ext cx="575072" cy="576000"/>
        </a:xfrm>
        <a:prstGeom prst="rect">
          <a:avLst/>
        </a:prstGeom>
        <a:noFill/>
      </xdr:spPr>
    </xdr:pic>
    <xdr:clientData/>
  </xdr:twoCellAnchor>
  <xdr:twoCellAnchor>
    <xdr:from>
      <xdr:col>4</xdr:col>
      <xdr:colOff>366796</xdr:colOff>
      <xdr:row>87</xdr:row>
      <xdr:rowOff>22676</xdr:rowOff>
    </xdr:from>
    <xdr:to>
      <xdr:col>4</xdr:col>
      <xdr:colOff>942796</xdr:colOff>
      <xdr:row>87</xdr:row>
      <xdr:rowOff>598676</xdr:rowOff>
    </xdr:to>
    <xdr:pic>
      <xdr:nvPicPr>
        <xdr:cNvPr id="1992" name="Picture 1991">
          <a:extLst>
            <a:ext uri="{FF2B5EF4-FFF2-40B4-BE49-F238E27FC236}">
              <a16:creationId xmlns:a16="http://schemas.microsoft.com/office/drawing/2014/main" id="{FACAF44A-0104-4827-A882-16B0D84B4637}"/>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29754283"/>
          <a:ext cx="576000" cy="576000"/>
        </a:xfrm>
        <a:prstGeom prst="rect">
          <a:avLst/>
        </a:prstGeom>
        <a:noFill/>
      </xdr:spPr>
    </xdr:pic>
    <xdr:clientData/>
  </xdr:twoCellAnchor>
  <xdr:twoCellAnchor>
    <xdr:from>
      <xdr:col>4</xdr:col>
      <xdr:colOff>366796</xdr:colOff>
      <xdr:row>86</xdr:row>
      <xdr:rowOff>22676</xdr:rowOff>
    </xdr:from>
    <xdr:to>
      <xdr:col>4</xdr:col>
      <xdr:colOff>942796</xdr:colOff>
      <xdr:row>86</xdr:row>
      <xdr:rowOff>598676</xdr:rowOff>
    </xdr:to>
    <xdr:pic>
      <xdr:nvPicPr>
        <xdr:cNvPr id="1993" name="Picture 1992">
          <a:extLst>
            <a:ext uri="{FF2B5EF4-FFF2-40B4-BE49-F238E27FC236}">
              <a16:creationId xmlns:a16="http://schemas.microsoft.com/office/drawing/2014/main" id="{BB2CF825-0F0D-4409-918A-168E33EB19C6}"/>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29145964"/>
          <a:ext cx="576000" cy="576000"/>
        </a:xfrm>
        <a:prstGeom prst="rect">
          <a:avLst/>
        </a:prstGeom>
        <a:noFill/>
      </xdr:spPr>
    </xdr:pic>
    <xdr:clientData/>
  </xdr:twoCellAnchor>
  <xdr:twoCellAnchor>
    <xdr:from>
      <xdr:col>4</xdr:col>
      <xdr:colOff>385981</xdr:colOff>
      <xdr:row>90</xdr:row>
      <xdr:rowOff>21543</xdr:rowOff>
    </xdr:from>
    <xdr:to>
      <xdr:col>4</xdr:col>
      <xdr:colOff>961981</xdr:colOff>
      <xdr:row>90</xdr:row>
      <xdr:rowOff>597543</xdr:rowOff>
    </xdr:to>
    <xdr:pic>
      <xdr:nvPicPr>
        <xdr:cNvPr id="1994" name="Picture 1993" descr="hair protection">
          <a:extLst>
            <a:ext uri="{FF2B5EF4-FFF2-40B4-BE49-F238E27FC236}">
              <a16:creationId xmlns:a16="http://schemas.microsoft.com/office/drawing/2014/main" id="{6637625E-1B76-45B9-A7FF-1456E85F79E3}"/>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31578108"/>
          <a:ext cx="576000" cy="576000"/>
        </a:xfrm>
        <a:prstGeom prst="rect">
          <a:avLst/>
        </a:prstGeom>
        <a:noFill/>
        <a:ln>
          <a:noFill/>
        </a:ln>
      </xdr:spPr>
    </xdr:pic>
    <xdr:clientData/>
  </xdr:twoCellAnchor>
  <xdr:twoCellAnchor>
    <xdr:from>
      <xdr:col>4</xdr:col>
      <xdr:colOff>378200</xdr:colOff>
      <xdr:row>89</xdr:row>
      <xdr:rowOff>15874</xdr:rowOff>
    </xdr:from>
    <xdr:to>
      <xdr:col>4</xdr:col>
      <xdr:colOff>954200</xdr:colOff>
      <xdr:row>89</xdr:row>
      <xdr:rowOff>591874</xdr:rowOff>
    </xdr:to>
    <xdr:pic>
      <xdr:nvPicPr>
        <xdr:cNvPr id="1995" name="Picture 1994">
          <a:extLst>
            <a:ext uri="{FF2B5EF4-FFF2-40B4-BE49-F238E27FC236}">
              <a16:creationId xmlns:a16="http://schemas.microsoft.com/office/drawing/2014/main" id="{AD7D9E81-439D-4DAB-A9C5-219606DBEA73}"/>
            </a:ext>
          </a:extLst>
        </xdr:cNvPr>
        <xdr:cNvPicPr>
          <a:picLocks noChangeAspect="1"/>
        </xdr:cNvPicPr>
      </xdr:nvPicPr>
      <xdr:blipFill>
        <a:blip xmlns:r="http://schemas.openxmlformats.org/officeDocument/2006/relationships" r:embed="rId14"/>
        <a:stretch>
          <a:fillRect/>
        </a:stretch>
      </xdr:blipFill>
      <xdr:spPr>
        <a:xfrm>
          <a:off x="3960080" y="30964120"/>
          <a:ext cx="576000" cy="576000"/>
        </a:xfrm>
        <a:prstGeom prst="rect">
          <a:avLst/>
        </a:prstGeom>
      </xdr:spPr>
    </xdr:pic>
    <xdr:clientData/>
  </xdr:twoCellAnchor>
  <xdr:twoCellAnchor>
    <xdr:from>
      <xdr:col>4</xdr:col>
      <xdr:colOff>387002</xdr:colOff>
      <xdr:row>92</xdr:row>
      <xdr:rowOff>18540</xdr:rowOff>
    </xdr:from>
    <xdr:to>
      <xdr:col>4</xdr:col>
      <xdr:colOff>963002</xdr:colOff>
      <xdr:row>92</xdr:row>
      <xdr:rowOff>594540</xdr:rowOff>
    </xdr:to>
    <xdr:pic>
      <xdr:nvPicPr>
        <xdr:cNvPr id="1996" name="Picture 1995">
          <a:extLst>
            <a:ext uri="{FF2B5EF4-FFF2-40B4-BE49-F238E27FC236}">
              <a16:creationId xmlns:a16="http://schemas.microsoft.com/office/drawing/2014/main" id="{6766D246-6214-4E14-86DE-A2708D59585E}"/>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32791744"/>
          <a:ext cx="576000" cy="576000"/>
        </a:xfrm>
        <a:prstGeom prst="rect">
          <a:avLst/>
        </a:prstGeom>
        <a:noFill/>
      </xdr:spPr>
    </xdr:pic>
    <xdr:clientData/>
  </xdr:twoCellAnchor>
  <xdr:twoCellAnchor>
    <xdr:from>
      <xdr:col>4</xdr:col>
      <xdr:colOff>382711</xdr:colOff>
      <xdr:row>91</xdr:row>
      <xdr:rowOff>23810</xdr:rowOff>
    </xdr:from>
    <xdr:to>
      <xdr:col>4</xdr:col>
      <xdr:colOff>958711</xdr:colOff>
      <xdr:row>91</xdr:row>
      <xdr:rowOff>599810</xdr:rowOff>
    </xdr:to>
    <xdr:pic>
      <xdr:nvPicPr>
        <xdr:cNvPr id="1997" name="Picture 1996" descr="head protection">
          <a:extLst>
            <a:ext uri="{FF2B5EF4-FFF2-40B4-BE49-F238E27FC236}">
              <a16:creationId xmlns:a16="http://schemas.microsoft.com/office/drawing/2014/main" id="{68F555FE-1A5F-4C6B-AB92-5A07B56FBA1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32188694"/>
          <a:ext cx="576000" cy="576000"/>
        </a:xfrm>
        <a:prstGeom prst="rect">
          <a:avLst/>
        </a:prstGeom>
        <a:noFill/>
        <a:ln>
          <a:noFill/>
        </a:ln>
      </xdr:spPr>
    </xdr:pic>
    <xdr:clientData/>
  </xdr:twoCellAnchor>
  <xdr:twoCellAnchor>
    <xdr:from>
      <xdr:col>4</xdr:col>
      <xdr:colOff>385942</xdr:colOff>
      <xdr:row>94</xdr:row>
      <xdr:rowOff>20407</xdr:rowOff>
    </xdr:from>
    <xdr:to>
      <xdr:col>4</xdr:col>
      <xdr:colOff>961942</xdr:colOff>
      <xdr:row>94</xdr:row>
      <xdr:rowOff>596407</xdr:rowOff>
    </xdr:to>
    <xdr:pic>
      <xdr:nvPicPr>
        <xdr:cNvPr id="1998" name="Picture 1997">
          <a:extLst>
            <a:ext uri="{FF2B5EF4-FFF2-40B4-BE49-F238E27FC236}">
              <a16:creationId xmlns:a16="http://schemas.microsoft.com/office/drawing/2014/main" id="{262C99D2-9A5B-406D-9DED-643FBA021846}"/>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34010249"/>
          <a:ext cx="576000" cy="576000"/>
        </a:xfrm>
        <a:prstGeom prst="rect">
          <a:avLst/>
        </a:prstGeom>
        <a:noFill/>
        <a:ln>
          <a:noFill/>
        </a:ln>
      </xdr:spPr>
    </xdr:pic>
    <xdr:clientData/>
  </xdr:twoCellAnchor>
  <xdr:twoCellAnchor>
    <xdr:from>
      <xdr:col>4</xdr:col>
      <xdr:colOff>388649</xdr:colOff>
      <xdr:row>93</xdr:row>
      <xdr:rowOff>20411</xdr:rowOff>
    </xdr:from>
    <xdr:to>
      <xdr:col>4</xdr:col>
      <xdr:colOff>964649</xdr:colOff>
      <xdr:row>93</xdr:row>
      <xdr:rowOff>595416</xdr:rowOff>
    </xdr:to>
    <xdr:pic>
      <xdr:nvPicPr>
        <xdr:cNvPr id="1999" name="Picture 1998">
          <a:extLst>
            <a:ext uri="{FF2B5EF4-FFF2-40B4-BE49-F238E27FC236}">
              <a16:creationId xmlns:a16="http://schemas.microsoft.com/office/drawing/2014/main" id="{2D18F291-F017-4BA2-9C6F-743C899964CE}"/>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33401934"/>
          <a:ext cx="576000" cy="575005"/>
        </a:xfrm>
        <a:prstGeom prst="rect">
          <a:avLst/>
        </a:prstGeom>
      </xdr:spPr>
    </xdr:pic>
    <xdr:clientData/>
  </xdr:twoCellAnchor>
  <xdr:twoCellAnchor>
    <xdr:from>
      <xdr:col>4</xdr:col>
      <xdr:colOff>380046</xdr:colOff>
      <xdr:row>96</xdr:row>
      <xdr:rowOff>18141</xdr:rowOff>
    </xdr:from>
    <xdr:to>
      <xdr:col>4</xdr:col>
      <xdr:colOff>956046</xdr:colOff>
      <xdr:row>96</xdr:row>
      <xdr:rowOff>594141</xdr:rowOff>
    </xdr:to>
    <xdr:pic>
      <xdr:nvPicPr>
        <xdr:cNvPr id="2000" name="Picture 1999" descr="safety vests">
          <a:extLst>
            <a:ext uri="{FF2B5EF4-FFF2-40B4-BE49-F238E27FC236}">
              <a16:creationId xmlns:a16="http://schemas.microsoft.com/office/drawing/2014/main" id="{DCD7600C-A15F-41BA-8796-82DAD19BEE34}"/>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35224622"/>
          <a:ext cx="576000" cy="576000"/>
        </a:xfrm>
        <a:prstGeom prst="rect">
          <a:avLst/>
        </a:prstGeom>
        <a:noFill/>
        <a:ln>
          <a:noFill/>
        </a:ln>
      </xdr:spPr>
    </xdr:pic>
    <xdr:clientData/>
  </xdr:twoCellAnchor>
  <xdr:twoCellAnchor>
    <xdr:from>
      <xdr:col>4</xdr:col>
      <xdr:colOff>380202</xdr:colOff>
      <xdr:row>95</xdr:row>
      <xdr:rowOff>17010</xdr:rowOff>
    </xdr:from>
    <xdr:to>
      <xdr:col>4</xdr:col>
      <xdr:colOff>956202</xdr:colOff>
      <xdr:row>95</xdr:row>
      <xdr:rowOff>593010</xdr:rowOff>
    </xdr:to>
    <xdr:pic>
      <xdr:nvPicPr>
        <xdr:cNvPr id="2001" name="Picture 2000">
          <a:extLst>
            <a:ext uri="{FF2B5EF4-FFF2-40B4-BE49-F238E27FC236}">
              <a16:creationId xmlns:a16="http://schemas.microsoft.com/office/drawing/2014/main" id="{2CC54339-05E9-4FD4-8AE2-6AF3911781F2}"/>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34615172"/>
          <a:ext cx="576000" cy="576000"/>
        </a:xfrm>
        <a:prstGeom prst="rect">
          <a:avLst/>
        </a:prstGeom>
      </xdr:spPr>
    </xdr:pic>
    <xdr:clientData/>
  </xdr:twoCellAnchor>
  <xdr:twoCellAnchor>
    <xdr:from>
      <xdr:col>4</xdr:col>
      <xdr:colOff>457020</xdr:colOff>
      <xdr:row>99</xdr:row>
      <xdr:rowOff>30345</xdr:rowOff>
    </xdr:from>
    <xdr:to>
      <xdr:col>4</xdr:col>
      <xdr:colOff>889020</xdr:colOff>
      <xdr:row>99</xdr:row>
      <xdr:rowOff>452820</xdr:rowOff>
    </xdr:to>
    <xdr:pic>
      <xdr:nvPicPr>
        <xdr:cNvPr id="2002" name="Picture 2001">
          <a:extLst>
            <a:ext uri="{FF2B5EF4-FFF2-40B4-BE49-F238E27FC236}">
              <a16:creationId xmlns:a16="http://schemas.microsoft.com/office/drawing/2014/main" id="{47A7B63A-A953-4B2E-AB0C-A53B2155A2E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37061784"/>
          <a:ext cx="432000" cy="422475"/>
        </a:xfrm>
        <a:prstGeom prst="rect">
          <a:avLst/>
        </a:prstGeom>
        <a:ln>
          <a:solidFill>
            <a:schemeClr val="tx1"/>
          </a:solidFill>
        </a:ln>
      </xdr:spPr>
    </xdr:pic>
    <xdr:clientData/>
  </xdr:twoCellAnchor>
  <xdr:twoCellAnchor>
    <xdr:from>
      <xdr:col>4</xdr:col>
      <xdr:colOff>404994</xdr:colOff>
      <xdr:row>99</xdr:row>
      <xdr:rowOff>30344</xdr:rowOff>
    </xdr:from>
    <xdr:to>
      <xdr:col>4</xdr:col>
      <xdr:colOff>944994</xdr:colOff>
      <xdr:row>99</xdr:row>
      <xdr:rowOff>570344</xdr:rowOff>
    </xdr:to>
    <xdr:pic>
      <xdr:nvPicPr>
        <xdr:cNvPr id="2003" name="Picture 2002">
          <a:extLst>
            <a:ext uri="{FF2B5EF4-FFF2-40B4-BE49-F238E27FC236}">
              <a16:creationId xmlns:a16="http://schemas.microsoft.com/office/drawing/2014/main" id="{E31C9A9C-2A1F-426B-8FCD-04B2E096E19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37061783"/>
          <a:ext cx="540000" cy="540000"/>
        </a:xfrm>
        <a:prstGeom prst="rect">
          <a:avLst/>
        </a:prstGeom>
        <a:ln>
          <a:solidFill>
            <a:schemeClr val="tx1"/>
          </a:solidFill>
        </a:ln>
      </xdr:spPr>
    </xdr:pic>
    <xdr:clientData/>
  </xdr:twoCellAnchor>
  <xdr:twoCellAnchor>
    <xdr:from>
      <xdr:col>4</xdr:col>
      <xdr:colOff>379338</xdr:colOff>
      <xdr:row>98</xdr:row>
      <xdr:rowOff>17007</xdr:rowOff>
    </xdr:from>
    <xdr:to>
      <xdr:col>4</xdr:col>
      <xdr:colOff>955338</xdr:colOff>
      <xdr:row>98</xdr:row>
      <xdr:rowOff>593007</xdr:rowOff>
    </xdr:to>
    <xdr:pic>
      <xdr:nvPicPr>
        <xdr:cNvPr id="2004" name="Picture 2003">
          <a:extLst>
            <a:ext uri="{FF2B5EF4-FFF2-40B4-BE49-F238E27FC236}">
              <a16:creationId xmlns:a16="http://schemas.microsoft.com/office/drawing/2014/main" id="{CF56B8B8-D871-43B8-BAFC-7A4C59B6D0C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36440127"/>
          <a:ext cx="576000" cy="576000"/>
        </a:xfrm>
        <a:prstGeom prst="rect">
          <a:avLst/>
        </a:prstGeom>
        <a:noFill/>
      </xdr:spPr>
    </xdr:pic>
    <xdr:clientData/>
  </xdr:twoCellAnchor>
  <xdr:twoCellAnchor>
    <xdr:from>
      <xdr:col>4</xdr:col>
      <xdr:colOff>380535</xdr:colOff>
      <xdr:row>97</xdr:row>
      <xdr:rowOff>17008</xdr:rowOff>
    </xdr:from>
    <xdr:to>
      <xdr:col>4</xdr:col>
      <xdr:colOff>956535</xdr:colOff>
      <xdr:row>97</xdr:row>
      <xdr:rowOff>593008</xdr:rowOff>
    </xdr:to>
    <xdr:pic>
      <xdr:nvPicPr>
        <xdr:cNvPr id="2005" name="Picture 2004">
          <a:extLst>
            <a:ext uri="{FF2B5EF4-FFF2-40B4-BE49-F238E27FC236}">
              <a16:creationId xmlns:a16="http://schemas.microsoft.com/office/drawing/2014/main" id="{2AAE9D33-4755-45EE-9C5F-3B8EE693594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35831808"/>
          <a:ext cx="576000" cy="576000"/>
        </a:xfrm>
        <a:prstGeom prst="rect">
          <a:avLst/>
        </a:prstGeom>
      </xdr:spPr>
    </xdr:pic>
    <xdr:clientData/>
  </xdr:twoCellAnchor>
  <xdr:twoCellAnchor>
    <xdr:from>
      <xdr:col>4</xdr:col>
      <xdr:colOff>358454</xdr:colOff>
      <xdr:row>101</xdr:row>
      <xdr:rowOff>21635</xdr:rowOff>
    </xdr:from>
    <xdr:to>
      <xdr:col>4</xdr:col>
      <xdr:colOff>934454</xdr:colOff>
      <xdr:row>101</xdr:row>
      <xdr:rowOff>597635</xdr:rowOff>
    </xdr:to>
    <xdr:pic>
      <xdr:nvPicPr>
        <xdr:cNvPr id="2006" name="Picture 2005">
          <a:extLst>
            <a:ext uri="{FF2B5EF4-FFF2-40B4-BE49-F238E27FC236}">
              <a16:creationId xmlns:a16="http://schemas.microsoft.com/office/drawing/2014/main" id="{F4B67E6F-6B51-4A83-BE34-AAA500383ED7}"/>
            </a:ext>
          </a:extLst>
        </xdr:cNvPr>
        <xdr:cNvPicPr>
          <a:picLocks noChangeAspect="1"/>
        </xdr:cNvPicPr>
      </xdr:nvPicPr>
      <xdr:blipFill>
        <a:blip xmlns:r="http://schemas.openxmlformats.org/officeDocument/2006/relationships" r:embed="rId11"/>
        <a:stretch>
          <a:fillRect/>
        </a:stretch>
      </xdr:blipFill>
      <xdr:spPr>
        <a:xfrm>
          <a:off x="3940334" y="25495007"/>
          <a:ext cx="576000" cy="576000"/>
        </a:xfrm>
        <a:prstGeom prst="rect">
          <a:avLst/>
        </a:prstGeom>
      </xdr:spPr>
    </xdr:pic>
    <xdr:clientData/>
  </xdr:twoCellAnchor>
  <xdr:twoCellAnchor>
    <xdr:from>
      <xdr:col>4</xdr:col>
      <xdr:colOff>368676</xdr:colOff>
      <xdr:row>100</xdr:row>
      <xdr:rowOff>23131</xdr:rowOff>
    </xdr:from>
    <xdr:to>
      <xdr:col>4</xdr:col>
      <xdr:colOff>944676</xdr:colOff>
      <xdr:row>100</xdr:row>
      <xdr:rowOff>599131</xdr:rowOff>
    </xdr:to>
    <xdr:pic>
      <xdr:nvPicPr>
        <xdr:cNvPr id="2007" name="Picture 2006">
          <a:extLst>
            <a:ext uri="{FF2B5EF4-FFF2-40B4-BE49-F238E27FC236}">
              <a16:creationId xmlns:a16="http://schemas.microsoft.com/office/drawing/2014/main" id="{8794FF39-45DE-4AFA-ACE3-8EA9B4EF1E3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3950556" y="24888184"/>
          <a:ext cx="576000" cy="576000"/>
        </a:xfrm>
        <a:prstGeom prst="rect">
          <a:avLst/>
        </a:prstGeom>
        <a:noFill/>
        <a:ln>
          <a:noFill/>
        </a:ln>
      </xdr:spPr>
    </xdr:pic>
    <xdr:clientData/>
  </xdr:twoCellAnchor>
  <xdr:twoCellAnchor>
    <xdr:from>
      <xdr:col>4</xdr:col>
      <xdr:colOff>356055</xdr:colOff>
      <xdr:row>103</xdr:row>
      <xdr:rowOff>17235</xdr:rowOff>
    </xdr:from>
    <xdr:to>
      <xdr:col>4</xdr:col>
      <xdr:colOff>932212</xdr:colOff>
      <xdr:row>103</xdr:row>
      <xdr:rowOff>593235</xdr:rowOff>
    </xdr:to>
    <xdr:pic>
      <xdr:nvPicPr>
        <xdr:cNvPr id="2008" name="Picture 2007">
          <a:extLst>
            <a:ext uri="{FF2B5EF4-FFF2-40B4-BE49-F238E27FC236}">
              <a16:creationId xmlns:a16="http://schemas.microsoft.com/office/drawing/2014/main" id="{81C971DD-E1F7-4E18-BF31-93C6D17DB372}"/>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3937935" y="26707246"/>
          <a:ext cx="576157" cy="576000"/>
        </a:xfrm>
        <a:prstGeom prst="rect">
          <a:avLst/>
        </a:prstGeom>
      </xdr:spPr>
    </xdr:pic>
    <xdr:clientData/>
  </xdr:twoCellAnchor>
  <xdr:twoCellAnchor>
    <xdr:from>
      <xdr:col>4</xdr:col>
      <xdr:colOff>354985</xdr:colOff>
      <xdr:row>102</xdr:row>
      <xdr:rowOff>17236</xdr:rowOff>
    </xdr:from>
    <xdr:to>
      <xdr:col>4</xdr:col>
      <xdr:colOff>930985</xdr:colOff>
      <xdr:row>102</xdr:row>
      <xdr:rowOff>593236</xdr:rowOff>
    </xdr:to>
    <xdr:pic>
      <xdr:nvPicPr>
        <xdr:cNvPr id="2009" name="Picture 2008">
          <a:extLst>
            <a:ext uri="{FF2B5EF4-FFF2-40B4-BE49-F238E27FC236}">
              <a16:creationId xmlns:a16="http://schemas.microsoft.com/office/drawing/2014/main" id="{7D9CB44F-AB07-459F-BB7F-B918789BE7AA}"/>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3936865" y="26098927"/>
          <a:ext cx="576000" cy="576000"/>
        </a:xfrm>
        <a:prstGeom prst="rect">
          <a:avLst/>
        </a:prstGeom>
      </xdr:spPr>
    </xdr:pic>
    <xdr:clientData/>
  </xdr:twoCellAnchor>
  <xdr:twoCellAnchor>
    <xdr:from>
      <xdr:col>4</xdr:col>
      <xdr:colOff>363698</xdr:colOff>
      <xdr:row>105</xdr:row>
      <xdr:rowOff>17690</xdr:rowOff>
    </xdr:from>
    <xdr:to>
      <xdr:col>4</xdr:col>
      <xdr:colOff>939698</xdr:colOff>
      <xdr:row>105</xdr:row>
      <xdr:rowOff>593690</xdr:rowOff>
    </xdr:to>
    <xdr:pic>
      <xdr:nvPicPr>
        <xdr:cNvPr id="2010" name="Picture 2009">
          <a:extLst>
            <a:ext uri="{FF2B5EF4-FFF2-40B4-BE49-F238E27FC236}">
              <a16:creationId xmlns:a16="http://schemas.microsoft.com/office/drawing/2014/main" id="{73900D33-3367-4367-AEDB-90CB50FC7A61}"/>
            </a:ext>
          </a:extLst>
        </xdr:cNvPr>
        <xdr:cNvPicPr>
          <a:picLocks noChangeAspect="1"/>
        </xdr:cNvPicPr>
      </xdr:nvPicPr>
      <xdr:blipFill>
        <a:blip xmlns:r="http://schemas.openxmlformats.org/officeDocument/2006/relationships" r:embed="rId31"/>
        <a:stretch>
          <a:fillRect/>
        </a:stretch>
      </xdr:blipFill>
      <xdr:spPr>
        <a:xfrm>
          <a:off x="3945578" y="27924339"/>
          <a:ext cx="576000" cy="576000"/>
        </a:xfrm>
        <a:prstGeom prst="rect">
          <a:avLst/>
        </a:prstGeom>
      </xdr:spPr>
    </xdr:pic>
    <xdr:clientData/>
  </xdr:twoCellAnchor>
  <xdr:twoCellAnchor>
    <xdr:from>
      <xdr:col>4</xdr:col>
      <xdr:colOff>358776</xdr:colOff>
      <xdr:row>104</xdr:row>
      <xdr:rowOff>16328</xdr:rowOff>
    </xdr:from>
    <xdr:to>
      <xdr:col>4</xdr:col>
      <xdr:colOff>933957</xdr:colOff>
      <xdr:row>104</xdr:row>
      <xdr:rowOff>592328</xdr:rowOff>
    </xdr:to>
    <xdr:pic>
      <xdr:nvPicPr>
        <xdr:cNvPr id="2011" name="Picture 2010">
          <a:extLst>
            <a:ext uri="{FF2B5EF4-FFF2-40B4-BE49-F238E27FC236}">
              <a16:creationId xmlns:a16="http://schemas.microsoft.com/office/drawing/2014/main" id="{FAC4264B-ACD9-4FA1-8923-38F74A0162D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0656" y="27314658"/>
          <a:ext cx="575181" cy="576000"/>
        </a:xfrm>
        <a:prstGeom prst="rect">
          <a:avLst/>
        </a:prstGeom>
      </xdr:spPr>
    </xdr:pic>
    <xdr:clientData/>
  </xdr:twoCellAnchor>
  <xdr:twoCellAnchor>
    <xdr:from>
      <xdr:col>4</xdr:col>
      <xdr:colOff>363698</xdr:colOff>
      <xdr:row>106</xdr:row>
      <xdr:rowOff>17690</xdr:rowOff>
    </xdr:from>
    <xdr:to>
      <xdr:col>4</xdr:col>
      <xdr:colOff>939698</xdr:colOff>
      <xdr:row>106</xdr:row>
      <xdr:rowOff>593690</xdr:rowOff>
    </xdr:to>
    <xdr:pic>
      <xdr:nvPicPr>
        <xdr:cNvPr id="2012" name="Picture 2011">
          <a:extLst>
            <a:ext uri="{FF2B5EF4-FFF2-40B4-BE49-F238E27FC236}">
              <a16:creationId xmlns:a16="http://schemas.microsoft.com/office/drawing/2014/main" id="{D7A463D6-C386-4555-B17A-F87F6E9600FB}"/>
            </a:ext>
          </a:extLst>
        </xdr:cNvPr>
        <xdr:cNvPicPr>
          <a:picLocks noChangeAspect="1"/>
        </xdr:cNvPicPr>
      </xdr:nvPicPr>
      <xdr:blipFill>
        <a:blip xmlns:r="http://schemas.openxmlformats.org/officeDocument/2006/relationships" r:embed="rId31"/>
        <a:stretch>
          <a:fillRect/>
        </a:stretch>
      </xdr:blipFill>
      <xdr:spPr>
        <a:xfrm>
          <a:off x="3945578" y="28532658"/>
          <a:ext cx="576000" cy="576000"/>
        </a:xfrm>
        <a:prstGeom prst="rect">
          <a:avLst/>
        </a:prstGeom>
      </xdr:spPr>
    </xdr:pic>
    <xdr:clientData/>
  </xdr:twoCellAnchor>
  <xdr:twoCellAnchor>
    <xdr:from>
      <xdr:col>4</xdr:col>
      <xdr:colOff>376921</xdr:colOff>
      <xdr:row>109</xdr:row>
      <xdr:rowOff>12108</xdr:rowOff>
    </xdr:from>
    <xdr:to>
      <xdr:col>4</xdr:col>
      <xdr:colOff>951993</xdr:colOff>
      <xdr:row>109</xdr:row>
      <xdr:rowOff>588108</xdr:rowOff>
    </xdr:to>
    <xdr:pic>
      <xdr:nvPicPr>
        <xdr:cNvPr id="2013" name="Picture 2012">
          <a:extLst>
            <a:ext uri="{FF2B5EF4-FFF2-40B4-BE49-F238E27FC236}">
              <a16:creationId xmlns:a16="http://schemas.microsoft.com/office/drawing/2014/main" id="{97050ED0-CE12-4E54-8412-0D636F499FC5}"/>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30352034"/>
          <a:ext cx="575072" cy="576000"/>
        </a:xfrm>
        <a:prstGeom prst="rect">
          <a:avLst/>
        </a:prstGeom>
        <a:noFill/>
      </xdr:spPr>
    </xdr:pic>
    <xdr:clientData/>
  </xdr:twoCellAnchor>
  <xdr:twoCellAnchor>
    <xdr:from>
      <xdr:col>4</xdr:col>
      <xdr:colOff>366796</xdr:colOff>
      <xdr:row>108</xdr:row>
      <xdr:rowOff>22676</xdr:rowOff>
    </xdr:from>
    <xdr:to>
      <xdr:col>4</xdr:col>
      <xdr:colOff>942796</xdr:colOff>
      <xdr:row>108</xdr:row>
      <xdr:rowOff>598676</xdr:rowOff>
    </xdr:to>
    <xdr:pic>
      <xdr:nvPicPr>
        <xdr:cNvPr id="2014" name="Picture 2013">
          <a:extLst>
            <a:ext uri="{FF2B5EF4-FFF2-40B4-BE49-F238E27FC236}">
              <a16:creationId xmlns:a16="http://schemas.microsoft.com/office/drawing/2014/main" id="{786A6057-FB05-4421-80F0-52263300DD1F}"/>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29754283"/>
          <a:ext cx="576000" cy="576000"/>
        </a:xfrm>
        <a:prstGeom prst="rect">
          <a:avLst/>
        </a:prstGeom>
        <a:noFill/>
      </xdr:spPr>
    </xdr:pic>
    <xdr:clientData/>
  </xdr:twoCellAnchor>
  <xdr:twoCellAnchor>
    <xdr:from>
      <xdr:col>4</xdr:col>
      <xdr:colOff>366796</xdr:colOff>
      <xdr:row>107</xdr:row>
      <xdr:rowOff>22676</xdr:rowOff>
    </xdr:from>
    <xdr:to>
      <xdr:col>4</xdr:col>
      <xdr:colOff>942796</xdr:colOff>
      <xdr:row>107</xdr:row>
      <xdr:rowOff>598676</xdr:rowOff>
    </xdr:to>
    <xdr:pic>
      <xdr:nvPicPr>
        <xdr:cNvPr id="2015" name="Picture 2014">
          <a:extLst>
            <a:ext uri="{FF2B5EF4-FFF2-40B4-BE49-F238E27FC236}">
              <a16:creationId xmlns:a16="http://schemas.microsoft.com/office/drawing/2014/main" id="{B2357164-D1E4-49D7-BDE9-B11714CEF9B1}"/>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29145964"/>
          <a:ext cx="576000" cy="576000"/>
        </a:xfrm>
        <a:prstGeom prst="rect">
          <a:avLst/>
        </a:prstGeom>
        <a:noFill/>
      </xdr:spPr>
    </xdr:pic>
    <xdr:clientData/>
  </xdr:twoCellAnchor>
  <xdr:twoCellAnchor>
    <xdr:from>
      <xdr:col>4</xdr:col>
      <xdr:colOff>385981</xdr:colOff>
      <xdr:row>111</xdr:row>
      <xdr:rowOff>21543</xdr:rowOff>
    </xdr:from>
    <xdr:to>
      <xdr:col>4</xdr:col>
      <xdr:colOff>961981</xdr:colOff>
      <xdr:row>111</xdr:row>
      <xdr:rowOff>597543</xdr:rowOff>
    </xdr:to>
    <xdr:pic>
      <xdr:nvPicPr>
        <xdr:cNvPr id="2016" name="Picture 2015" descr="hair protection">
          <a:extLst>
            <a:ext uri="{FF2B5EF4-FFF2-40B4-BE49-F238E27FC236}">
              <a16:creationId xmlns:a16="http://schemas.microsoft.com/office/drawing/2014/main" id="{D2CAFA81-0C8C-4C15-98E3-B9B34FEE4BE4}"/>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31578108"/>
          <a:ext cx="576000" cy="576000"/>
        </a:xfrm>
        <a:prstGeom prst="rect">
          <a:avLst/>
        </a:prstGeom>
        <a:noFill/>
        <a:ln>
          <a:noFill/>
        </a:ln>
      </xdr:spPr>
    </xdr:pic>
    <xdr:clientData/>
  </xdr:twoCellAnchor>
  <xdr:twoCellAnchor>
    <xdr:from>
      <xdr:col>4</xdr:col>
      <xdr:colOff>378200</xdr:colOff>
      <xdr:row>110</xdr:row>
      <xdr:rowOff>15874</xdr:rowOff>
    </xdr:from>
    <xdr:to>
      <xdr:col>4</xdr:col>
      <xdr:colOff>954200</xdr:colOff>
      <xdr:row>110</xdr:row>
      <xdr:rowOff>591874</xdr:rowOff>
    </xdr:to>
    <xdr:pic>
      <xdr:nvPicPr>
        <xdr:cNvPr id="2017" name="Picture 2016">
          <a:extLst>
            <a:ext uri="{FF2B5EF4-FFF2-40B4-BE49-F238E27FC236}">
              <a16:creationId xmlns:a16="http://schemas.microsoft.com/office/drawing/2014/main" id="{0309763B-5574-4A37-B3AC-59D8DA668477}"/>
            </a:ext>
          </a:extLst>
        </xdr:cNvPr>
        <xdr:cNvPicPr>
          <a:picLocks noChangeAspect="1"/>
        </xdr:cNvPicPr>
      </xdr:nvPicPr>
      <xdr:blipFill>
        <a:blip xmlns:r="http://schemas.openxmlformats.org/officeDocument/2006/relationships" r:embed="rId14"/>
        <a:stretch>
          <a:fillRect/>
        </a:stretch>
      </xdr:blipFill>
      <xdr:spPr>
        <a:xfrm>
          <a:off x="3960080" y="30964120"/>
          <a:ext cx="576000" cy="576000"/>
        </a:xfrm>
        <a:prstGeom prst="rect">
          <a:avLst/>
        </a:prstGeom>
      </xdr:spPr>
    </xdr:pic>
    <xdr:clientData/>
  </xdr:twoCellAnchor>
  <xdr:twoCellAnchor>
    <xdr:from>
      <xdr:col>4</xdr:col>
      <xdr:colOff>387002</xdr:colOff>
      <xdr:row>113</xdr:row>
      <xdr:rowOff>18540</xdr:rowOff>
    </xdr:from>
    <xdr:to>
      <xdr:col>4</xdr:col>
      <xdr:colOff>963002</xdr:colOff>
      <xdr:row>113</xdr:row>
      <xdr:rowOff>594540</xdr:rowOff>
    </xdr:to>
    <xdr:pic>
      <xdr:nvPicPr>
        <xdr:cNvPr id="2018" name="Picture 2017">
          <a:extLst>
            <a:ext uri="{FF2B5EF4-FFF2-40B4-BE49-F238E27FC236}">
              <a16:creationId xmlns:a16="http://schemas.microsoft.com/office/drawing/2014/main" id="{FCC008CE-72B3-4360-A30F-193CDEC9B085}"/>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32791744"/>
          <a:ext cx="576000" cy="576000"/>
        </a:xfrm>
        <a:prstGeom prst="rect">
          <a:avLst/>
        </a:prstGeom>
        <a:noFill/>
      </xdr:spPr>
    </xdr:pic>
    <xdr:clientData/>
  </xdr:twoCellAnchor>
  <xdr:twoCellAnchor>
    <xdr:from>
      <xdr:col>4</xdr:col>
      <xdr:colOff>382711</xdr:colOff>
      <xdr:row>112</xdr:row>
      <xdr:rowOff>23810</xdr:rowOff>
    </xdr:from>
    <xdr:to>
      <xdr:col>4</xdr:col>
      <xdr:colOff>958711</xdr:colOff>
      <xdr:row>112</xdr:row>
      <xdr:rowOff>599810</xdr:rowOff>
    </xdr:to>
    <xdr:pic>
      <xdr:nvPicPr>
        <xdr:cNvPr id="2019" name="Picture 2018" descr="head protection">
          <a:extLst>
            <a:ext uri="{FF2B5EF4-FFF2-40B4-BE49-F238E27FC236}">
              <a16:creationId xmlns:a16="http://schemas.microsoft.com/office/drawing/2014/main" id="{54BAFBBD-0070-4789-AAD5-858EB533552D}"/>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32188694"/>
          <a:ext cx="576000" cy="576000"/>
        </a:xfrm>
        <a:prstGeom prst="rect">
          <a:avLst/>
        </a:prstGeom>
        <a:noFill/>
        <a:ln>
          <a:noFill/>
        </a:ln>
      </xdr:spPr>
    </xdr:pic>
    <xdr:clientData/>
  </xdr:twoCellAnchor>
  <xdr:twoCellAnchor>
    <xdr:from>
      <xdr:col>4</xdr:col>
      <xdr:colOff>385942</xdr:colOff>
      <xdr:row>115</xdr:row>
      <xdr:rowOff>20407</xdr:rowOff>
    </xdr:from>
    <xdr:to>
      <xdr:col>4</xdr:col>
      <xdr:colOff>961942</xdr:colOff>
      <xdr:row>115</xdr:row>
      <xdr:rowOff>596407</xdr:rowOff>
    </xdr:to>
    <xdr:pic>
      <xdr:nvPicPr>
        <xdr:cNvPr id="2020" name="Picture 2019">
          <a:extLst>
            <a:ext uri="{FF2B5EF4-FFF2-40B4-BE49-F238E27FC236}">
              <a16:creationId xmlns:a16="http://schemas.microsoft.com/office/drawing/2014/main" id="{97D6724E-697C-4919-BF91-BEA8B862ECBA}"/>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34010249"/>
          <a:ext cx="576000" cy="576000"/>
        </a:xfrm>
        <a:prstGeom prst="rect">
          <a:avLst/>
        </a:prstGeom>
        <a:noFill/>
        <a:ln>
          <a:noFill/>
        </a:ln>
      </xdr:spPr>
    </xdr:pic>
    <xdr:clientData/>
  </xdr:twoCellAnchor>
  <xdr:twoCellAnchor>
    <xdr:from>
      <xdr:col>4</xdr:col>
      <xdr:colOff>388649</xdr:colOff>
      <xdr:row>114</xdr:row>
      <xdr:rowOff>20411</xdr:rowOff>
    </xdr:from>
    <xdr:to>
      <xdr:col>4</xdr:col>
      <xdr:colOff>964649</xdr:colOff>
      <xdr:row>114</xdr:row>
      <xdr:rowOff>595416</xdr:rowOff>
    </xdr:to>
    <xdr:pic>
      <xdr:nvPicPr>
        <xdr:cNvPr id="2021" name="Picture 2020">
          <a:extLst>
            <a:ext uri="{FF2B5EF4-FFF2-40B4-BE49-F238E27FC236}">
              <a16:creationId xmlns:a16="http://schemas.microsoft.com/office/drawing/2014/main" id="{A5E54691-4B4C-458A-AB24-3238F00E822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33401934"/>
          <a:ext cx="576000" cy="575005"/>
        </a:xfrm>
        <a:prstGeom prst="rect">
          <a:avLst/>
        </a:prstGeom>
      </xdr:spPr>
    </xdr:pic>
    <xdr:clientData/>
  </xdr:twoCellAnchor>
  <xdr:twoCellAnchor>
    <xdr:from>
      <xdr:col>4</xdr:col>
      <xdr:colOff>380046</xdr:colOff>
      <xdr:row>117</xdr:row>
      <xdr:rowOff>18141</xdr:rowOff>
    </xdr:from>
    <xdr:to>
      <xdr:col>4</xdr:col>
      <xdr:colOff>956046</xdr:colOff>
      <xdr:row>117</xdr:row>
      <xdr:rowOff>594141</xdr:rowOff>
    </xdr:to>
    <xdr:pic>
      <xdr:nvPicPr>
        <xdr:cNvPr id="2022" name="Picture 2021" descr="safety vests">
          <a:extLst>
            <a:ext uri="{FF2B5EF4-FFF2-40B4-BE49-F238E27FC236}">
              <a16:creationId xmlns:a16="http://schemas.microsoft.com/office/drawing/2014/main" id="{52C59FB6-2F33-426F-986A-D456B27A8BA4}"/>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35224622"/>
          <a:ext cx="576000" cy="576000"/>
        </a:xfrm>
        <a:prstGeom prst="rect">
          <a:avLst/>
        </a:prstGeom>
        <a:noFill/>
        <a:ln>
          <a:noFill/>
        </a:ln>
      </xdr:spPr>
    </xdr:pic>
    <xdr:clientData/>
  </xdr:twoCellAnchor>
  <xdr:twoCellAnchor>
    <xdr:from>
      <xdr:col>4</xdr:col>
      <xdr:colOff>380202</xdr:colOff>
      <xdr:row>116</xdr:row>
      <xdr:rowOff>17010</xdr:rowOff>
    </xdr:from>
    <xdr:to>
      <xdr:col>4</xdr:col>
      <xdr:colOff>956202</xdr:colOff>
      <xdr:row>116</xdr:row>
      <xdr:rowOff>593010</xdr:rowOff>
    </xdr:to>
    <xdr:pic>
      <xdr:nvPicPr>
        <xdr:cNvPr id="2023" name="Picture 2022">
          <a:extLst>
            <a:ext uri="{FF2B5EF4-FFF2-40B4-BE49-F238E27FC236}">
              <a16:creationId xmlns:a16="http://schemas.microsoft.com/office/drawing/2014/main" id="{0FE0B580-74E9-4230-9C8E-03A2C67ECCB4}"/>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34615172"/>
          <a:ext cx="576000" cy="576000"/>
        </a:xfrm>
        <a:prstGeom prst="rect">
          <a:avLst/>
        </a:prstGeom>
      </xdr:spPr>
    </xdr:pic>
    <xdr:clientData/>
  </xdr:twoCellAnchor>
  <xdr:twoCellAnchor>
    <xdr:from>
      <xdr:col>4</xdr:col>
      <xdr:colOff>457020</xdr:colOff>
      <xdr:row>120</xdr:row>
      <xdr:rowOff>30345</xdr:rowOff>
    </xdr:from>
    <xdr:to>
      <xdr:col>4</xdr:col>
      <xdr:colOff>889020</xdr:colOff>
      <xdr:row>120</xdr:row>
      <xdr:rowOff>452820</xdr:rowOff>
    </xdr:to>
    <xdr:pic>
      <xdr:nvPicPr>
        <xdr:cNvPr id="2024" name="Picture 2023">
          <a:extLst>
            <a:ext uri="{FF2B5EF4-FFF2-40B4-BE49-F238E27FC236}">
              <a16:creationId xmlns:a16="http://schemas.microsoft.com/office/drawing/2014/main" id="{A4A05E2B-709D-4D5F-AAEF-0133716B1745}"/>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37061784"/>
          <a:ext cx="432000" cy="422475"/>
        </a:xfrm>
        <a:prstGeom prst="rect">
          <a:avLst/>
        </a:prstGeom>
        <a:ln>
          <a:solidFill>
            <a:schemeClr val="tx1"/>
          </a:solidFill>
        </a:ln>
      </xdr:spPr>
    </xdr:pic>
    <xdr:clientData/>
  </xdr:twoCellAnchor>
  <xdr:twoCellAnchor>
    <xdr:from>
      <xdr:col>4</xdr:col>
      <xdr:colOff>404994</xdr:colOff>
      <xdr:row>120</xdr:row>
      <xdr:rowOff>30344</xdr:rowOff>
    </xdr:from>
    <xdr:to>
      <xdr:col>4</xdr:col>
      <xdr:colOff>944994</xdr:colOff>
      <xdr:row>120</xdr:row>
      <xdr:rowOff>570344</xdr:rowOff>
    </xdr:to>
    <xdr:pic>
      <xdr:nvPicPr>
        <xdr:cNvPr id="2025" name="Picture 2024">
          <a:extLst>
            <a:ext uri="{FF2B5EF4-FFF2-40B4-BE49-F238E27FC236}">
              <a16:creationId xmlns:a16="http://schemas.microsoft.com/office/drawing/2014/main" id="{20C5E93B-B6E7-41FF-BA8F-A04A1656A9A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37061783"/>
          <a:ext cx="540000" cy="540000"/>
        </a:xfrm>
        <a:prstGeom prst="rect">
          <a:avLst/>
        </a:prstGeom>
        <a:ln>
          <a:solidFill>
            <a:schemeClr val="tx1"/>
          </a:solidFill>
        </a:ln>
      </xdr:spPr>
    </xdr:pic>
    <xdr:clientData/>
  </xdr:twoCellAnchor>
  <xdr:twoCellAnchor>
    <xdr:from>
      <xdr:col>4</xdr:col>
      <xdr:colOff>379338</xdr:colOff>
      <xdr:row>119</xdr:row>
      <xdr:rowOff>17007</xdr:rowOff>
    </xdr:from>
    <xdr:to>
      <xdr:col>4</xdr:col>
      <xdr:colOff>955338</xdr:colOff>
      <xdr:row>119</xdr:row>
      <xdr:rowOff>593007</xdr:rowOff>
    </xdr:to>
    <xdr:pic>
      <xdr:nvPicPr>
        <xdr:cNvPr id="2026" name="Picture 2025">
          <a:extLst>
            <a:ext uri="{FF2B5EF4-FFF2-40B4-BE49-F238E27FC236}">
              <a16:creationId xmlns:a16="http://schemas.microsoft.com/office/drawing/2014/main" id="{A0686C88-0414-4DCA-A706-97E0E3A95EA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36440127"/>
          <a:ext cx="576000" cy="576000"/>
        </a:xfrm>
        <a:prstGeom prst="rect">
          <a:avLst/>
        </a:prstGeom>
        <a:noFill/>
      </xdr:spPr>
    </xdr:pic>
    <xdr:clientData/>
  </xdr:twoCellAnchor>
  <xdr:twoCellAnchor>
    <xdr:from>
      <xdr:col>4</xdr:col>
      <xdr:colOff>380535</xdr:colOff>
      <xdr:row>118</xdr:row>
      <xdr:rowOff>17008</xdr:rowOff>
    </xdr:from>
    <xdr:to>
      <xdr:col>4</xdr:col>
      <xdr:colOff>956535</xdr:colOff>
      <xdr:row>118</xdr:row>
      <xdr:rowOff>593008</xdr:rowOff>
    </xdr:to>
    <xdr:pic>
      <xdr:nvPicPr>
        <xdr:cNvPr id="2027" name="Picture 2026">
          <a:extLst>
            <a:ext uri="{FF2B5EF4-FFF2-40B4-BE49-F238E27FC236}">
              <a16:creationId xmlns:a16="http://schemas.microsoft.com/office/drawing/2014/main" id="{9DFBF9E7-0436-4AA9-90D0-2660E4E9BAE3}"/>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35831808"/>
          <a:ext cx="576000" cy="576000"/>
        </a:xfrm>
        <a:prstGeom prst="rect">
          <a:avLst/>
        </a:prstGeom>
      </xdr:spPr>
    </xdr:pic>
    <xdr:clientData/>
  </xdr:twoCellAnchor>
  <xdr:twoCellAnchor>
    <xdr:from>
      <xdr:col>4</xdr:col>
      <xdr:colOff>358454</xdr:colOff>
      <xdr:row>122</xdr:row>
      <xdr:rowOff>21635</xdr:rowOff>
    </xdr:from>
    <xdr:to>
      <xdr:col>4</xdr:col>
      <xdr:colOff>934454</xdr:colOff>
      <xdr:row>122</xdr:row>
      <xdr:rowOff>597635</xdr:rowOff>
    </xdr:to>
    <xdr:pic>
      <xdr:nvPicPr>
        <xdr:cNvPr id="2028" name="Picture 2027">
          <a:extLst>
            <a:ext uri="{FF2B5EF4-FFF2-40B4-BE49-F238E27FC236}">
              <a16:creationId xmlns:a16="http://schemas.microsoft.com/office/drawing/2014/main" id="{5D9BA55F-3E32-4630-8003-D0A0C9A5C2E9}"/>
            </a:ext>
          </a:extLst>
        </xdr:cNvPr>
        <xdr:cNvPicPr>
          <a:picLocks noChangeAspect="1"/>
        </xdr:cNvPicPr>
      </xdr:nvPicPr>
      <xdr:blipFill>
        <a:blip xmlns:r="http://schemas.openxmlformats.org/officeDocument/2006/relationships" r:embed="rId11"/>
        <a:stretch>
          <a:fillRect/>
        </a:stretch>
      </xdr:blipFill>
      <xdr:spPr>
        <a:xfrm>
          <a:off x="3940334" y="25495007"/>
          <a:ext cx="576000" cy="576000"/>
        </a:xfrm>
        <a:prstGeom prst="rect">
          <a:avLst/>
        </a:prstGeom>
      </xdr:spPr>
    </xdr:pic>
    <xdr:clientData/>
  </xdr:twoCellAnchor>
  <xdr:twoCellAnchor>
    <xdr:from>
      <xdr:col>4</xdr:col>
      <xdr:colOff>368676</xdr:colOff>
      <xdr:row>121</xdr:row>
      <xdr:rowOff>23131</xdr:rowOff>
    </xdr:from>
    <xdr:to>
      <xdr:col>4</xdr:col>
      <xdr:colOff>944676</xdr:colOff>
      <xdr:row>121</xdr:row>
      <xdr:rowOff>599131</xdr:rowOff>
    </xdr:to>
    <xdr:pic>
      <xdr:nvPicPr>
        <xdr:cNvPr id="2029" name="Picture 2028">
          <a:extLst>
            <a:ext uri="{FF2B5EF4-FFF2-40B4-BE49-F238E27FC236}">
              <a16:creationId xmlns:a16="http://schemas.microsoft.com/office/drawing/2014/main" id="{D73DB393-4350-40EA-9C00-248DF7AF997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3950556" y="24888184"/>
          <a:ext cx="576000" cy="576000"/>
        </a:xfrm>
        <a:prstGeom prst="rect">
          <a:avLst/>
        </a:prstGeom>
        <a:noFill/>
        <a:ln>
          <a:noFill/>
        </a:ln>
      </xdr:spPr>
    </xdr:pic>
    <xdr:clientData/>
  </xdr:twoCellAnchor>
  <xdr:twoCellAnchor>
    <xdr:from>
      <xdr:col>4</xdr:col>
      <xdr:colOff>356055</xdr:colOff>
      <xdr:row>124</xdr:row>
      <xdr:rowOff>17235</xdr:rowOff>
    </xdr:from>
    <xdr:to>
      <xdr:col>4</xdr:col>
      <xdr:colOff>932212</xdr:colOff>
      <xdr:row>124</xdr:row>
      <xdr:rowOff>593235</xdr:rowOff>
    </xdr:to>
    <xdr:pic>
      <xdr:nvPicPr>
        <xdr:cNvPr id="2030" name="Picture 2029">
          <a:extLst>
            <a:ext uri="{FF2B5EF4-FFF2-40B4-BE49-F238E27FC236}">
              <a16:creationId xmlns:a16="http://schemas.microsoft.com/office/drawing/2014/main" id="{47E05E05-79B7-49D6-9BC7-1F4B2515440B}"/>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3937935" y="26707246"/>
          <a:ext cx="576157" cy="576000"/>
        </a:xfrm>
        <a:prstGeom prst="rect">
          <a:avLst/>
        </a:prstGeom>
      </xdr:spPr>
    </xdr:pic>
    <xdr:clientData/>
  </xdr:twoCellAnchor>
  <xdr:twoCellAnchor>
    <xdr:from>
      <xdr:col>4</xdr:col>
      <xdr:colOff>354985</xdr:colOff>
      <xdr:row>123</xdr:row>
      <xdr:rowOff>17236</xdr:rowOff>
    </xdr:from>
    <xdr:to>
      <xdr:col>4</xdr:col>
      <xdr:colOff>930985</xdr:colOff>
      <xdr:row>123</xdr:row>
      <xdr:rowOff>593236</xdr:rowOff>
    </xdr:to>
    <xdr:pic>
      <xdr:nvPicPr>
        <xdr:cNvPr id="2031" name="Picture 2030">
          <a:extLst>
            <a:ext uri="{FF2B5EF4-FFF2-40B4-BE49-F238E27FC236}">
              <a16:creationId xmlns:a16="http://schemas.microsoft.com/office/drawing/2014/main" id="{C7E5BB3D-ABC2-489C-9371-98A8DA81EA65}"/>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3936865" y="26098927"/>
          <a:ext cx="576000" cy="576000"/>
        </a:xfrm>
        <a:prstGeom prst="rect">
          <a:avLst/>
        </a:prstGeom>
      </xdr:spPr>
    </xdr:pic>
    <xdr:clientData/>
  </xdr:twoCellAnchor>
  <xdr:twoCellAnchor>
    <xdr:from>
      <xdr:col>4</xdr:col>
      <xdr:colOff>363698</xdr:colOff>
      <xdr:row>126</xdr:row>
      <xdr:rowOff>17690</xdr:rowOff>
    </xdr:from>
    <xdr:to>
      <xdr:col>4</xdr:col>
      <xdr:colOff>939698</xdr:colOff>
      <xdr:row>126</xdr:row>
      <xdr:rowOff>593690</xdr:rowOff>
    </xdr:to>
    <xdr:pic>
      <xdr:nvPicPr>
        <xdr:cNvPr id="2032" name="Picture 2031">
          <a:extLst>
            <a:ext uri="{FF2B5EF4-FFF2-40B4-BE49-F238E27FC236}">
              <a16:creationId xmlns:a16="http://schemas.microsoft.com/office/drawing/2014/main" id="{442E8AA1-0C76-47B1-A28A-A3C32678B4A4}"/>
            </a:ext>
          </a:extLst>
        </xdr:cNvPr>
        <xdr:cNvPicPr>
          <a:picLocks noChangeAspect="1"/>
        </xdr:cNvPicPr>
      </xdr:nvPicPr>
      <xdr:blipFill>
        <a:blip xmlns:r="http://schemas.openxmlformats.org/officeDocument/2006/relationships" r:embed="rId31"/>
        <a:stretch>
          <a:fillRect/>
        </a:stretch>
      </xdr:blipFill>
      <xdr:spPr>
        <a:xfrm>
          <a:off x="3945578" y="27924339"/>
          <a:ext cx="576000" cy="576000"/>
        </a:xfrm>
        <a:prstGeom prst="rect">
          <a:avLst/>
        </a:prstGeom>
      </xdr:spPr>
    </xdr:pic>
    <xdr:clientData/>
  </xdr:twoCellAnchor>
  <xdr:twoCellAnchor>
    <xdr:from>
      <xdr:col>4</xdr:col>
      <xdr:colOff>358776</xdr:colOff>
      <xdr:row>125</xdr:row>
      <xdr:rowOff>16328</xdr:rowOff>
    </xdr:from>
    <xdr:to>
      <xdr:col>4</xdr:col>
      <xdr:colOff>933957</xdr:colOff>
      <xdr:row>125</xdr:row>
      <xdr:rowOff>592328</xdr:rowOff>
    </xdr:to>
    <xdr:pic>
      <xdr:nvPicPr>
        <xdr:cNvPr id="2033" name="Picture 2032">
          <a:extLst>
            <a:ext uri="{FF2B5EF4-FFF2-40B4-BE49-F238E27FC236}">
              <a16:creationId xmlns:a16="http://schemas.microsoft.com/office/drawing/2014/main" id="{9D863D61-B70A-464B-890E-3469407B6DF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0656" y="27314658"/>
          <a:ext cx="575181" cy="576000"/>
        </a:xfrm>
        <a:prstGeom prst="rect">
          <a:avLst/>
        </a:prstGeom>
      </xdr:spPr>
    </xdr:pic>
    <xdr:clientData/>
  </xdr:twoCellAnchor>
  <xdr:twoCellAnchor>
    <xdr:from>
      <xdr:col>4</xdr:col>
      <xdr:colOff>363698</xdr:colOff>
      <xdr:row>127</xdr:row>
      <xdr:rowOff>17690</xdr:rowOff>
    </xdr:from>
    <xdr:to>
      <xdr:col>4</xdr:col>
      <xdr:colOff>939698</xdr:colOff>
      <xdr:row>127</xdr:row>
      <xdr:rowOff>593690</xdr:rowOff>
    </xdr:to>
    <xdr:pic>
      <xdr:nvPicPr>
        <xdr:cNvPr id="2034" name="Picture 2033">
          <a:extLst>
            <a:ext uri="{FF2B5EF4-FFF2-40B4-BE49-F238E27FC236}">
              <a16:creationId xmlns:a16="http://schemas.microsoft.com/office/drawing/2014/main" id="{64BFDB93-5728-4D79-8691-7A0E1525EF56}"/>
            </a:ext>
          </a:extLst>
        </xdr:cNvPr>
        <xdr:cNvPicPr>
          <a:picLocks noChangeAspect="1"/>
        </xdr:cNvPicPr>
      </xdr:nvPicPr>
      <xdr:blipFill>
        <a:blip xmlns:r="http://schemas.openxmlformats.org/officeDocument/2006/relationships" r:embed="rId31"/>
        <a:stretch>
          <a:fillRect/>
        </a:stretch>
      </xdr:blipFill>
      <xdr:spPr>
        <a:xfrm>
          <a:off x="3945578" y="28532658"/>
          <a:ext cx="576000" cy="576000"/>
        </a:xfrm>
        <a:prstGeom prst="rect">
          <a:avLst/>
        </a:prstGeom>
      </xdr:spPr>
    </xdr:pic>
    <xdr:clientData/>
  </xdr:twoCellAnchor>
  <xdr:twoCellAnchor>
    <xdr:from>
      <xdr:col>4</xdr:col>
      <xdr:colOff>376921</xdr:colOff>
      <xdr:row>130</xdr:row>
      <xdr:rowOff>12108</xdr:rowOff>
    </xdr:from>
    <xdr:to>
      <xdr:col>4</xdr:col>
      <xdr:colOff>951993</xdr:colOff>
      <xdr:row>130</xdr:row>
      <xdr:rowOff>588108</xdr:rowOff>
    </xdr:to>
    <xdr:pic>
      <xdr:nvPicPr>
        <xdr:cNvPr id="2035" name="Picture 2034">
          <a:extLst>
            <a:ext uri="{FF2B5EF4-FFF2-40B4-BE49-F238E27FC236}">
              <a16:creationId xmlns:a16="http://schemas.microsoft.com/office/drawing/2014/main" id="{49EBD76D-04BD-46F3-AF80-545BC7350703}"/>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30352034"/>
          <a:ext cx="575072" cy="576000"/>
        </a:xfrm>
        <a:prstGeom prst="rect">
          <a:avLst/>
        </a:prstGeom>
        <a:noFill/>
      </xdr:spPr>
    </xdr:pic>
    <xdr:clientData/>
  </xdr:twoCellAnchor>
  <xdr:twoCellAnchor>
    <xdr:from>
      <xdr:col>4</xdr:col>
      <xdr:colOff>366796</xdr:colOff>
      <xdr:row>129</xdr:row>
      <xdr:rowOff>22676</xdr:rowOff>
    </xdr:from>
    <xdr:to>
      <xdr:col>4</xdr:col>
      <xdr:colOff>942796</xdr:colOff>
      <xdr:row>129</xdr:row>
      <xdr:rowOff>598676</xdr:rowOff>
    </xdr:to>
    <xdr:pic>
      <xdr:nvPicPr>
        <xdr:cNvPr id="2036" name="Picture 2035">
          <a:extLst>
            <a:ext uri="{FF2B5EF4-FFF2-40B4-BE49-F238E27FC236}">
              <a16:creationId xmlns:a16="http://schemas.microsoft.com/office/drawing/2014/main" id="{E719CD87-EDC2-4586-BAF9-8F0AF6336641}"/>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29754283"/>
          <a:ext cx="576000" cy="576000"/>
        </a:xfrm>
        <a:prstGeom prst="rect">
          <a:avLst/>
        </a:prstGeom>
        <a:noFill/>
      </xdr:spPr>
    </xdr:pic>
    <xdr:clientData/>
  </xdr:twoCellAnchor>
  <xdr:twoCellAnchor>
    <xdr:from>
      <xdr:col>4</xdr:col>
      <xdr:colOff>366796</xdr:colOff>
      <xdr:row>128</xdr:row>
      <xdr:rowOff>22676</xdr:rowOff>
    </xdr:from>
    <xdr:to>
      <xdr:col>4</xdr:col>
      <xdr:colOff>942796</xdr:colOff>
      <xdr:row>128</xdr:row>
      <xdr:rowOff>598676</xdr:rowOff>
    </xdr:to>
    <xdr:pic>
      <xdr:nvPicPr>
        <xdr:cNvPr id="2037" name="Picture 2036">
          <a:extLst>
            <a:ext uri="{FF2B5EF4-FFF2-40B4-BE49-F238E27FC236}">
              <a16:creationId xmlns:a16="http://schemas.microsoft.com/office/drawing/2014/main" id="{807974A1-DC7B-4CB0-976F-BE4F705F8F1A}"/>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29145964"/>
          <a:ext cx="576000" cy="576000"/>
        </a:xfrm>
        <a:prstGeom prst="rect">
          <a:avLst/>
        </a:prstGeom>
        <a:noFill/>
      </xdr:spPr>
    </xdr:pic>
    <xdr:clientData/>
  </xdr:twoCellAnchor>
  <xdr:twoCellAnchor>
    <xdr:from>
      <xdr:col>4</xdr:col>
      <xdr:colOff>385981</xdr:colOff>
      <xdr:row>132</xdr:row>
      <xdr:rowOff>21543</xdr:rowOff>
    </xdr:from>
    <xdr:to>
      <xdr:col>4</xdr:col>
      <xdr:colOff>961981</xdr:colOff>
      <xdr:row>132</xdr:row>
      <xdr:rowOff>597543</xdr:rowOff>
    </xdr:to>
    <xdr:pic>
      <xdr:nvPicPr>
        <xdr:cNvPr id="2038" name="Picture 2037" descr="hair protection">
          <a:extLst>
            <a:ext uri="{FF2B5EF4-FFF2-40B4-BE49-F238E27FC236}">
              <a16:creationId xmlns:a16="http://schemas.microsoft.com/office/drawing/2014/main" id="{14E66D88-E5F8-41D7-80B0-46AECEFB24AF}"/>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31578108"/>
          <a:ext cx="576000" cy="576000"/>
        </a:xfrm>
        <a:prstGeom prst="rect">
          <a:avLst/>
        </a:prstGeom>
        <a:noFill/>
        <a:ln>
          <a:noFill/>
        </a:ln>
      </xdr:spPr>
    </xdr:pic>
    <xdr:clientData/>
  </xdr:twoCellAnchor>
  <xdr:twoCellAnchor>
    <xdr:from>
      <xdr:col>4</xdr:col>
      <xdr:colOff>378200</xdr:colOff>
      <xdr:row>131</xdr:row>
      <xdr:rowOff>15874</xdr:rowOff>
    </xdr:from>
    <xdr:to>
      <xdr:col>4</xdr:col>
      <xdr:colOff>954200</xdr:colOff>
      <xdr:row>131</xdr:row>
      <xdr:rowOff>591874</xdr:rowOff>
    </xdr:to>
    <xdr:pic>
      <xdr:nvPicPr>
        <xdr:cNvPr id="2039" name="Picture 2038">
          <a:extLst>
            <a:ext uri="{FF2B5EF4-FFF2-40B4-BE49-F238E27FC236}">
              <a16:creationId xmlns:a16="http://schemas.microsoft.com/office/drawing/2014/main" id="{D412125C-1A9A-4E7B-B515-80EC3D00A361}"/>
            </a:ext>
          </a:extLst>
        </xdr:cNvPr>
        <xdr:cNvPicPr>
          <a:picLocks noChangeAspect="1"/>
        </xdr:cNvPicPr>
      </xdr:nvPicPr>
      <xdr:blipFill>
        <a:blip xmlns:r="http://schemas.openxmlformats.org/officeDocument/2006/relationships" r:embed="rId14"/>
        <a:stretch>
          <a:fillRect/>
        </a:stretch>
      </xdr:blipFill>
      <xdr:spPr>
        <a:xfrm>
          <a:off x="3960080" y="30964120"/>
          <a:ext cx="576000" cy="576000"/>
        </a:xfrm>
        <a:prstGeom prst="rect">
          <a:avLst/>
        </a:prstGeom>
      </xdr:spPr>
    </xdr:pic>
    <xdr:clientData/>
  </xdr:twoCellAnchor>
  <xdr:twoCellAnchor>
    <xdr:from>
      <xdr:col>4</xdr:col>
      <xdr:colOff>387002</xdr:colOff>
      <xdr:row>134</xdr:row>
      <xdr:rowOff>18540</xdr:rowOff>
    </xdr:from>
    <xdr:to>
      <xdr:col>4</xdr:col>
      <xdr:colOff>963002</xdr:colOff>
      <xdr:row>134</xdr:row>
      <xdr:rowOff>594540</xdr:rowOff>
    </xdr:to>
    <xdr:pic>
      <xdr:nvPicPr>
        <xdr:cNvPr id="2040" name="Picture 2039">
          <a:extLst>
            <a:ext uri="{FF2B5EF4-FFF2-40B4-BE49-F238E27FC236}">
              <a16:creationId xmlns:a16="http://schemas.microsoft.com/office/drawing/2014/main" id="{8971E446-F2CC-44F3-8CC3-89DCFC4EAF9D}"/>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32791744"/>
          <a:ext cx="576000" cy="576000"/>
        </a:xfrm>
        <a:prstGeom prst="rect">
          <a:avLst/>
        </a:prstGeom>
        <a:noFill/>
      </xdr:spPr>
    </xdr:pic>
    <xdr:clientData/>
  </xdr:twoCellAnchor>
  <xdr:twoCellAnchor>
    <xdr:from>
      <xdr:col>4</xdr:col>
      <xdr:colOff>382711</xdr:colOff>
      <xdr:row>133</xdr:row>
      <xdr:rowOff>23810</xdr:rowOff>
    </xdr:from>
    <xdr:to>
      <xdr:col>4</xdr:col>
      <xdr:colOff>958711</xdr:colOff>
      <xdr:row>133</xdr:row>
      <xdr:rowOff>599810</xdr:rowOff>
    </xdr:to>
    <xdr:pic>
      <xdr:nvPicPr>
        <xdr:cNvPr id="2041" name="Picture 2040" descr="head protection">
          <a:extLst>
            <a:ext uri="{FF2B5EF4-FFF2-40B4-BE49-F238E27FC236}">
              <a16:creationId xmlns:a16="http://schemas.microsoft.com/office/drawing/2014/main" id="{979AD1A7-D897-4081-9CEF-1EAD7F5F9E6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32188694"/>
          <a:ext cx="576000" cy="576000"/>
        </a:xfrm>
        <a:prstGeom prst="rect">
          <a:avLst/>
        </a:prstGeom>
        <a:noFill/>
        <a:ln>
          <a:noFill/>
        </a:ln>
      </xdr:spPr>
    </xdr:pic>
    <xdr:clientData/>
  </xdr:twoCellAnchor>
  <xdr:twoCellAnchor>
    <xdr:from>
      <xdr:col>4</xdr:col>
      <xdr:colOff>385942</xdr:colOff>
      <xdr:row>136</xdr:row>
      <xdr:rowOff>20407</xdr:rowOff>
    </xdr:from>
    <xdr:to>
      <xdr:col>4</xdr:col>
      <xdr:colOff>961942</xdr:colOff>
      <xdr:row>136</xdr:row>
      <xdr:rowOff>596407</xdr:rowOff>
    </xdr:to>
    <xdr:pic>
      <xdr:nvPicPr>
        <xdr:cNvPr id="2042" name="Picture 2041">
          <a:extLst>
            <a:ext uri="{FF2B5EF4-FFF2-40B4-BE49-F238E27FC236}">
              <a16:creationId xmlns:a16="http://schemas.microsoft.com/office/drawing/2014/main" id="{D3E94494-1583-4D09-8AD3-0D518348D55E}"/>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34010249"/>
          <a:ext cx="576000" cy="576000"/>
        </a:xfrm>
        <a:prstGeom prst="rect">
          <a:avLst/>
        </a:prstGeom>
        <a:noFill/>
        <a:ln>
          <a:noFill/>
        </a:ln>
      </xdr:spPr>
    </xdr:pic>
    <xdr:clientData/>
  </xdr:twoCellAnchor>
  <xdr:twoCellAnchor>
    <xdr:from>
      <xdr:col>4</xdr:col>
      <xdr:colOff>388649</xdr:colOff>
      <xdr:row>135</xdr:row>
      <xdr:rowOff>20411</xdr:rowOff>
    </xdr:from>
    <xdr:to>
      <xdr:col>4</xdr:col>
      <xdr:colOff>964649</xdr:colOff>
      <xdr:row>135</xdr:row>
      <xdr:rowOff>595416</xdr:rowOff>
    </xdr:to>
    <xdr:pic>
      <xdr:nvPicPr>
        <xdr:cNvPr id="2043" name="Picture 2042">
          <a:extLst>
            <a:ext uri="{FF2B5EF4-FFF2-40B4-BE49-F238E27FC236}">
              <a16:creationId xmlns:a16="http://schemas.microsoft.com/office/drawing/2014/main" id="{FA58E092-3A3F-45AA-AF34-3A12F4110B3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33401934"/>
          <a:ext cx="576000" cy="575005"/>
        </a:xfrm>
        <a:prstGeom prst="rect">
          <a:avLst/>
        </a:prstGeom>
      </xdr:spPr>
    </xdr:pic>
    <xdr:clientData/>
  </xdr:twoCellAnchor>
  <xdr:twoCellAnchor>
    <xdr:from>
      <xdr:col>4</xdr:col>
      <xdr:colOff>380046</xdr:colOff>
      <xdr:row>138</xdr:row>
      <xdr:rowOff>18141</xdr:rowOff>
    </xdr:from>
    <xdr:to>
      <xdr:col>4</xdr:col>
      <xdr:colOff>956046</xdr:colOff>
      <xdr:row>138</xdr:row>
      <xdr:rowOff>594141</xdr:rowOff>
    </xdr:to>
    <xdr:pic>
      <xdr:nvPicPr>
        <xdr:cNvPr id="2044" name="Picture 2043" descr="safety vests">
          <a:extLst>
            <a:ext uri="{FF2B5EF4-FFF2-40B4-BE49-F238E27FC236}">
              <a16:creationId xmlns:a16="http://schemas.microsoft.com/office/drawing/2014/main" id="{B2CA6C0D-B22C-46C1-A1EC-82517143F803}"/>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35224622"/>
          <a:ext cx="576000" cy="576000"/>
        </a:xfrm>
        <a:prstGeom prst="rect">
          <a:avLst/>
        </a:prstGeom>
        <a:noFill/>
        <a:ln>
          <a:noFill/>
        </a:ln>
      </xdr:spPr>
    </xdr:pic>
    <xdr:clientData/>
  </xdr:twoCellAnchor>
  <xdr:twoCellAnchor>
    <xdr:from>
      <xdr:col>4</xdr:col>
      <xdr:colOff>380202</xdr:colOff>
      <xdr:row>137</xdr:row>
      <xdr:rowOff>17010</xdr:rowOff>
    </xdr:from>
    <xdr:to>
      <xdr:col>4</xdr:col>
      <xdr:colOff>956202</xdr:colOff>
      <xdr:row>137</xdr:row>
      <xdr:rowOff>593010</xdr:rowOff>
    </xdr:to>
    <xdr:pic>
      <xdr:nvPicPr>
        <xdr:cNvPr id="2045" name="Picture 2044">
          <a:extLst>
            <a:ext uri="{FF2B5EF4-FFF2-40B4-BE49-F238E27FC236}">
              <a16:creationId xmlns:a16="http://schemas.microsoft.com/office/drawing/2014/main" id="{D5278260-00E3-49BC-9C74-FCAA8061E886}"/>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34615172"/>
          <a:ext cx="576000" cy="576000"/>
        </a:xfrm>
        <a:prstGeom prst="rect">
          <a:avLst/>
        </a:prstGeom>
      </xdr:spPr>
    </xdr:pic>
    <xdr:clientData/>
  </xdr:twoCellAnchor>
  <xdr:twoCellAnchor>
    <xdr:from>
      <xdr:col>4</xdr:col>
      <xdr:colOff>457020</xdr:colOff>
      <xdr:row>141</xdr:row>
      <xdr:rowOff>30345</xdr:rowOff>
    </xdr:from>
    <xdr:to>
      <xdr:col>4</xdr:col>
      <xdr:colOff>889020</xdr:colOff>
      <xdr:row>141</xdr:row>
      <xdr:rowOff>452820</xdr:rowOff>
    </xdr:to>
    <xdr:pic>
      <xdr:nvPicPr>
        <xdr:cNvPr id="2046" name="Picture 2045">
          <a:extLst>
            <a:ext uri="{FF2B5EF4-FFF2-40B4-BE49-F238E27FC236}">
              <a16:creationId xmlns:a16="http://schemas.microsoft.com/office/drawing/2014/main" id="{423AA031-AE02-42FE-81EF-5EDCBADE969C}"/>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37061784"/>
          <a:ext cx="432000" cy="422475"/>
        </a:xfrm>
        <a:prstGeom prst="rect">
          <a:avLst/>
        </a:prstGeom>
        <a:ln>
          <a:solidFill>
            <a:schemeClr val="tx1"/>
          </a:solidFill>
        </a:ln>
      </xdr:spPr>
    </xdr:pic>
    <xdr:clientData/>
  </xdr:twoCellAnchor>
  <xdr:twoCellAnchor>
    <xdr:from>
      <xdr:col>4</xdr:col>
      <xdr:colOff>404994</xdr:colOff>
      <xdr:row>141</xdr:row>
      <xdr:rowOff>30344</xdr:rowOff>
    </xdr:from>
    <xdr:to>
      <xdr:col>4</xdr:col>
      <xdr:colOff>944994</xdr:colOff>
      <xdr:row>141</xdr:row>
      <xdr:rowOff>570344</xdr:rowOff>
    </xdr:to>
    <xdr:pic>
      <xdr:nvPicPr>
        <xdr:cNvPr id="2047" name="Picture 2046">
          <a:extLst>
            <a:ext uri="{FF2B5EF4-FFF2-40B4-BE49-F238E27FC236}">
              <a16:creationId xmlns:a16="http://schemas.microsoft.com/office/drawing/2014/main" id="{0E7B0B75-279B-4073-8C7A-5CE9807640E9}"/>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37061783"/>
          <a:ext cx="540000" cy="540000"/>
        </a:xfrm>
        <a:prstGeom prst="rect">
          <a:avLst/>
        </a:prstGeom>
        <a:ln>
          <a:solidFill>
            <a:schemeClr val="tx1"/>
          </a:solidFill>
        </a:ln>
      </xdr:spPr>
    </xdr:pic>
    <xdr:clientData/>
  </xdr:twoCellAnchor>
  <xdr:twoCellAnchor>
    <xdr:from>
      <xdr:col>4</xdr:col>
      <xdr:colOff>379338</xdr:colOff>
      <xdr:row>140</xdr:row>
      <xdr:rowOff>17007</xdr:rowOff>
    </xdr:from>
    <xdr:to>
      <xdr:col>4</xdr:col>
      <xdr:colOff>955338</xdr:colOff>
      <xdr:row>140</xdr:row>
      <xdr:rowOff>593007</xdr:rowOff>
    </xdr:to>
    <xdr:pic>
      <xdr:nvPicPr>
        <xdr:cNvPr id="2048" name="Picture 2047">
          <a:extLst>
            <a:ext uri="{FF2B5EF4-FFF2-40B4-BE49-F238E27FC236}">
              <a16:creationId xmlns:a16="http://schemas.microsoft.com/office/drawing/2014/main" id="{43AE4323-6490-4375-A37C-5B25A7B38E8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36440127"/>
          <a:ext cx="576000" cy="576000"/>
        </a:xfrm>
        <a:prstGeom prst="rect">
          <a:avLst/>
        </a:prstGeom>
        <a:noFill/>
      </xdr:spPr>
    </xdr:pic>
    <xdr:clientData/>
  </xdr:twoCellAnchor>
  <xdr:twoCellAnchor>
    <xdr:from>
      <xdr:col>4</xdr:col>
      <xdr:colOff>380535</xdr:colOff>
      <xdr:row>139</xdr:row>
      <xdr:rowOff>17008</xdr:rowOff>
    </xdr:from>
    <xdr:to>
      <xdr:col>4</xdr:col>
      <xdr:colOff>956535</xdr:colOff>
      <xdr:row>139</xdr:row>
      <xdr:rowOff>593008</xdr:rowOff>
    </xdr:to>
    <xdr:pic>
      <xdr:nvPicPr>
        <xdr:cNvPr id="2049" name="Picture 2048">
          <a:extLst>
            <a:ext uri="{FF2B5EF4-FFF2-40B4-BE49-F238E27FC236}">
              <a16:creationId xmlns:a16="http://schemas.microsoft.com/office/drawing/2014/main" id="{86B3B0CB-7485-4BA7-AADA-083D60BBD79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35831808"/>
          <a:ext cx="576000" cy="576000"/>
        </a:xfrm>
        <a:prstGeom prst="rect">
          <a:avLst/>
        </a:prstGeom>
      </xdr:spPr>
    </xdr:pic>
    <xdr:clientData/>
  </xdr:twoCellAnchor>
  <xdr:twoCellAnchor>
    <xdr:from>
      <xdr:col>4</xdr:col>
      <xdr:colOff>358454</xdr:colOff>
      <xdr:row>142</xdr:row>
      <xdr:rowOff>21635</xdr:rowOff>
    </xdr:from>
    <xdr:to>
      <xdr:col>4</xdr:col>
      <xdr:colOff>934454</xdr:colOff>
      <xdr:row>142</xdr:row>
      <xdr:rowOff>597635</xdr:rowOff>
    </xdr:to>
    <xdr:pic>
      <xdr:nvPicPr>
        <xdr:cNvPr id="2050" name="Picture 2049">
          <a:extLst>
            <a:ext uri="{FF2B5EF4-FFF2-40B4-BE49-F238E27FC236}">
              <a16:creationId xmlns:a16="http://schemas.microsoft.com/office/drawing/2014/main" id="{4733D6C8-3A9A-4B96-8678-B67AF4E731E8}"/>
            </a:ext>
          </a:extLst>
        </xdr:cNvPr>
        <xdr:cNvPicPr>
          <a:picLocks noChangeAspect="1"/>
        </xdr:cNvPicPr>
      </xdr:nvPicPr>
      <xdr:blipFill>
        <a:blip xmlns:r="http://schemas.openxmlformats.org/officeDocument/2006/relationships" r:embed="rId11"/>
        <a:stretch>
          <a:fillRect/>
        </a:stretch>
      </xdr:blipFill>
      <xdr:spPr>
        <a:xfrm>
          <a:off x="3940334" y="63819124"/>
          <a:ext cx="576000" cy="576000"/>
        </a:xfrm>
        <a:prstGeom prst="rect">
          <a:avLst/>
        </a:prstGeom>
      </xdr:spPr>
    </xdr:pic>
    <xdr:clientData/>
  </xdr:twoCellAnchor>
  <xdr:twoCellAnchor>
    <xdr:from>
      <xdr:col>4</xdr:col>
      <xdr:colOff>356055</xdr:colOff>
      <xdr:row>144</xdr:row>
      <xdr:rowOff>17235</xdr:rowOff>
    </xdr:from>
    <xdr:to>
      <xdr:col>4</xdr:col>
      <xdr:colOff>932212</xdr:colOff>
      <xdr:row>144</xdr:row>
      <xdr:rowOff>593235</xdr:rowOff>
    </xdr:to>
    <xdr:pic>
      <xdr:nvPicPr>
        <xdr:cNvPr id="2051" name="Picture 2050">
          <a:extLst>
            <a:ext uri="{FF2B5EF4-FFF2-40B4-BE49-F238E27FC236}">
              <a16:creationId xmlns:a16="http://schemas.microsoft.com/office/drawing/2014/main" id="{DE9CD47B-AF59-4CEF-BD59-56C41E857A10}"/>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3937935" y="65031363"/>
          <a:ext cx="576157" cy="576000"/>
        </a:xfrm>
        <a:prstGeom prst="rect">
          <a:avLst/>
        </a:prstGeom>
      </xdr:spPr>
    </xdr:pic>
    <xdr:clientData/>
  </xdr:twoCellAnchor>
  <xdr:twoCellAnchor>
    <xdr:from>
      <xdr:col>4</xdr:col>
      <xdr:colOff>354985</xdr:colOff>
      <xdr:row>143</xdr:row>
      <xdr:rowOff>17236</xdr:rowOff>
    </xdr:from>
    <xdr:to>
      <xdr:col>4</xdr:col>
      <xdr:colOff>930985</xdr:colOff>
      <xdr:row>143</xdr:row>
      <xdr:rowOff>593236</xdr:rowOff>
    </xdr:to>
    <xdr:pic>
      <xdr:nvPicPr>
        <xdr:cNvPr id="2052" name="Picture 2051">
          <a:extLst>
            <a:ext uri="{FF2B5EF4-FFF2-40B4-BE49-F238E27FC236}">
              <a16:creationId xmlns:a16="http://schemas.microsoft.com/office/drawing/2014/main" id="{BFBD9E5C-C69E-470E-B505-D625F034301D}"/>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3936865" y="64423045"/>
          <a:ext cx="576000" cy="576000"/>
        </a:xfrm>
        <a:prstGeom prst="rect">
          <a:avLst/>
        </a:prstGeom>
      </xdr:spPr>
    </xdr:pic>
    <xdr:clientData/>
  </xdr:twoCellAnchor>
  <xdr:twoCellAnchor>
    <xdr:from>
      <xdr:col>4</xdr:col>
      <xdr:colOff>363698</xdr:colOff>
      <xdr:row>146</xdr:row>
      <xdr:rowOff>17690</xdr:rowOff>
    </xdr:from>
    <xdr:to>
      <xdr:col>4</xdr:col>
      <xdr:colOff>939698</xdr:colOff>
      <xdr:row>146</xdr:row>
      <xdr:rowOff>593690</xdr:rowOff>
    </xdr:to>
    <xdr:pic>
      <xdr:nvPicPr>
        <xdr:cNvPr id="2053" name="Picture 2052">
          <a:extLst>
            <a:ext uri="{FF2B5EF4-FFF2-40B4-BE49-F238E27FC236}">
              <a16:creationId xmlns:a16="http://schemas.microsoft.com/office/drawing/2014/main" id="{6A9E3810-9F7E-46BF-A455-D63FFC8A1138}"/>
            </a:ext>
          </a:extLst>
        </xdr:cNvPr>
        <xdr:cNvPicPr>
          <a:picLocks noChangeAspect="1"/>
        </xdr:cNvPicPr>
      </xdr:nvPicPr>
      <xdr:blipFill>
        <a:blip xmlns:r="http://schemas.openxmlformats.org/officeDocument/2006/relationships" r:embed="rId31"/>
        <a:stretch>
          <a:fillRect/>
        </a:stretch>
      </xdr:blipFill>
      <xdr:spPr>
        <a:xfrm>
          <a:off x="3945578" y="66248457"/>
          <a:ext cx="576000" cy="576000"/>
        </a:xfrm>
        <a:prstGeom prst="rect">
          <a:avLst/>
        </a:prstGeom>
      </xdr:spPr>
    </xdr:pic>
    <xdr:clientData/>
  </xdr:twoCellAnchor>
  <xdr:twoCellAnchor>
    <xdr:from>
      <xdr:col>4</xdr:col>
      <xdr:colOff>358776</xdr:colOff>
      <xdr:row>145</xdr:row>
      <xdr:rowOff>16328</xdr:rowOff>
    </xdr:from>
    <xdr:to>
      <xdr:col>4</xdr:col>
      <xdr:colOff>933957</xdr:colOff>
      <xdr:row>145</xdr:row>
      <xdr:rowOff>592328</xdr:rowOff>
    </xdr:to>
    <xdr:pic>
      <xdr:nvPicPr>
        <xdr:cNvPr id="2054" name="Picture 2053">
          <a:extLst>
            <a:ext uri="{FF2B5EF4-FFF2-40B4-BE49-F238E27FC236}">
              <a16:creationId xmlns:a16="http://schemas.microsoft.com/office/drawing/2014/main" id="{25D1372D-CD8E-44E9-AFCC-95E7B5FB452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0656" y="65638775"/>
          <a:ext cx="575181" cy="576000"/>
        </a:xfrm>
        <a:prstGeom prst="rect">
          <a:avLst/>
        </a:prstGeom>
      </xdr:spPr>
    </xdr:pic>
    <xdr:clientData/>
  </xdr:twoCellAnchor>
  <xdr:twoCellAnchor>
    <xdr:from>
      <xdr:col>4</xdr:col>
      <xdr:colOff>363698</xdr:colOff>
      <xdr:row>147</xdr:row>
      <xdr:rowOff>17690</xdr:rowOff>
    </xdr:from>
    <xdr:to>
      <xdr:col>4</xdr:col>
      <xdr:colOff>939698</xdr:colOff>
      <xdr:row>147</xdr:row>
      <xdr:rowOff>593690</xdr:rowOff>
    </xdr:to>
    <xdr:pic>
      <xdr:nvPicPr>
        <xdr:cNvPr id="2055" name="Picture 2054">
          <a:extLst>
            <a:ext uri="{FF2B5EF4-FFF2-40B4-BE49-F238E27FC236}">
              <a16:creationId xmlns:a16="http://schemas.microsoft.com/office/drawing/2014/main" id="{16DA8955-92E6-4FD9-8A43-76E5D5395CF1}"/>
            </a:ext>
          </a:extLst>
        </xdr:cNvPr>
        <xdr:cNvPicPr>
          <a:picLocks noChangeAspect="1"/>
        </xdr:cNvPicPr>
      </xdr:nvPicPr>
      <xdr:blipFill>
        <a:blip xmlns:r="http://schemas.openxmlformats.org/officeDocument/2006/relationships" r:embed="rId31"/>
        <a:stretch>
          <a:fillRect/>
        </a:stretch>
      </xdr:blipFill>
      <xdr:spPr>
        <a:xfrm>
          <a:off x="3945578" y="66856776"/>
          <a:ext cx="576000" cy="576000"/>
        </a:xfrm>
        <a:prstGeom prst="rect">
          <a:avLst/>
        </a:prstGeom>
      </xdr:spPr>
    </xdr:pic>
    <xdr:clientData/>
  </xdr:twoCellAnchor>
  <xdr:twoCellAnchor>
    <xdr:from>
      <xdr:col>4</xdr:col>
      <xdr:colOff>376921</xdr:colOff>
      <xdr:row>150</xdr:row>
      <xdr:rowOff>12108</xdr:rowOff>
    </xdr:from>
    <xdr:to>
      <xdr:col>4</xdr:col>
      <xdr:colOff>951993</xdr:colOff>
      <xdr:row>150</xdr:row>
      <xdr:rowOff>588108</xdr:rowOff>
    </xdr:to>
    <xdr:pic>
      <xdr:nvPicPr>
        <xdr:cNvPr id="2056" name="Picture 2055">
          <a:extLst>
            <a:ext uri="{FF2B5EF4-FFF2-40B4-BE49-F238E27FC236}">
              <a16:creationId xmlns:a16="http://schemas.microsoft.com/office/drawing/2014/main" id="{FDCCCFFF-6B5E-493A-9613-7E0CAAB8A405}"/>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68676152"/>
          <a:ext cx="575072" cy="576000"/>
        </a:xfrm>
        <a:prstGeom prst="rect">
          <a:avLst/>
        </a:prstGeom>
        <a:noFill/>
      </xdr:spPr>
    </xdr:pic>
    <xdr:clientData/>
  </xdr:twoCellAnchor>
  <xdr:twoCellAnchor>
    <xdr:from>
      <xdr:col>4</xdr:col>
      <xdr:colOff>366796</xdr:colOff>
      <xdr:row>149</xdr:row>
      <xdr:rowOff>22676</xdr:rowOff>
    </xdr:from>
    <xdr:to>
      <xdr:col>4</xdr:col>
      <xdr:colOff>942796</xdr:colOff>
      <xdr:row>149</xdr:row>
      <xdr:rowOff>598676</xdr:rowOff>
    </xdr:to>
    <xdr:pic>
      <xdr:nvPicPr>
        <xdr:cNvPr id="2057" name="Picture 2056">
          <a:extLst>
            <a:ext uri="{FF2B5EF4-FFF2-40B4-BE49-F238E27FC236}">
              <a16:creationId xmlns:a16="http://schemas.microsoft.com/office/drawing/2014/main" id="{A3FAF4E4-A60E-4AC0-B200-55200063BD87}"/>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68078401"/>
          <a:ext cx="576000" cy="576000"/>
        </a:xfrm>
        <a:prstGeom prst="rect">
          <a:avLst/>
        </a:prstGeom>
        <a:noFill/>
      </xdr:spPr>
    </xdr:pic>
    <xdr:clientData/>
  </xdr:twoCellAnchor>
  <xdr:twoCellAnchor>
    <xdr:from>
      <xdr:col>4</xdr:col>
      <xdr:colOff>366796</xdr:colOff>
      <xdr:row>148</xdr:row>
      <xdr:rowOff>22676</xdr:rowOff>
    </xdr:from>
    <xdr:to>
      <xdr:col>4</xdr:col>
      <xdr:colOff>942796</xdr:colOff>
      <xdr:row>148</xdr:row>
      <xdr:rowOff>598676</xdr:rowOff>
    </xdr:to>
    <xdr:pic>
      <xdr:nvPicPr>
        <xdr:cNvPr id="2058" name="Picture 2057">
          <a:extLst>
            <a:ext uri="{FF2B5EF4-FFF2-40B4-BE49-F238E27FC236}">
              <a16:creationId xmlns:a16="http://schemas.microsoft.com/office/drawing/2014/main" id="{21FF748C-3D36-4957-8C28-82545DA960F6}"/>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67470081"/>
          <a:ext cx="576000" cy="576000"/>
        </a:xfrm>
        <a:prstGeom prst="rect">
          <a:avLst/>
        </a:prstGeom>
        <a:noFill/>
      </xdr:spPr>
    </xdr:pic>
    <xdr:clientData/>
  </xdr:twoCellAnchor>
  <xdr:twoCellAnchor>
    <xdr:from>
      <xdr:col>4</xdr:col>
      <xdr:colOff>385981</xdr:colOff>
      <xdr:row>152</xdr:row>
      <xdr:rowOff>21543</xdr:rowOff>
    </xdr:from>
    <xdr:to>
      <xdr:col>4</xdr:col>
      <xdr:colOff>961981</xdr:colOff>
      <xdr:row>152</xdr:row>
      <xdr:rowOff>597543</xdr:rowOff>
    </xdr:to>
    <xdr:pic>
      <xdr:nvPicPr>
        <xdr:cNvPr id="2059" name="Picture 2058" descr="hair protection">
          <a:extLst>
            <a:ext uri="{FF2B5EF4-FFF2-40B4-BE49-F238E27FC236}">
              <a16:creationId xmlns:a16="http://schemas.microsoft.com/office/drawing/2014/main" id="{7B3747F7-CA12-4583-B56F-91593F79AE3E}"/>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69902226"/>
          <a:ext cx="576000" cy="576000"/>
        </a:xfrm>
        <a:prstGeom prst="rect">
          <a:avLst/>
        </a:prstGeom>
        <a:noFill/>
        <a:ln>
          <a:noFill/>
        </a:ln>
      </xdr:spPr>
    </xdr:pic>
    <xdr:clientData/>
  </xdr:twoCellAnchor>
  <xdr:twoCellAnchor>
    <xdr:from>
      <xdr:col>4</xdr:col>
      <xdr:colOff>378200</xdr:colOff>
      <xdr:row>151</xdr:row>
      <xdr:rowOff>15874</xdr:rowOff>
    </xdr:from>
    <xdr:to>
      <xdr:col>4</xdr:col>
      <xdr:colOff>954200</xdr:colOff>
      <xdr:row>151</xdr:row>
      <xdr:rowOff>591874</xdr:rowOff>
    </xdr:to>
    <xdr:pic>
      <xdr:nvPicPr>
        <xdr:cNvPr id="2060" name="Picture 2059">
          <a:extLst>
            <a:ext uri="{FF2B5EF4-FFF2-40B4-BE49-F238E27FC236}">
              <a16:creationId xmlns:a16="http://schemas.microsoft.com/office/drawing/2014/main" id="{F5752B56-8E28-4391-B897-A56F7100F86D}"/>
            </a:ext>
          </a:extLst>
        </xdr:cNvPr>
        <xdr:cNvPicPr>
          <a:picLocks noChangeAspect="1"/>
        </xdr:cNvPicPr>
      </xdr:nvPicPr>
      <xdr:blipFill>
        <a:blip xmlns:r="http://schemas.openxmlformats.org/officeDocument/2006/relationships" r:embed="rId14"/>
        <a:stretch>
          <a:fillRect/>
        </a:stretch>
      </xdr:blipFill>
      <xdr:spPr>
        <a:xfrm>
          <a:off x="3960080" y="69288237"/>
          <a:ext cx="576000" cy="576000"/>
        </a:xfrm>
        <a:prstGeom prst="rect">
          <a:avLst/>
        </a:prstGeom>
      </xdr:spPr>
    </xdr:pic>
    <xdr:clientData/>
  </xdr:twoCellAnchor>
  <xdr:twoCellAnchor>
    <xdr:from>
      <xdr:col>4</xdr:col>
      <xdr:colOff>387002</xdr:colOff>
      <xdr:row>154</xdr:row>
      <xdr:rowOff>18540</xdr:rowOff>
    </xdr:from>
    <xdr:to>
      <xdr:col>4</xdr:col>
      <xdr:colOff>963002</xdr:colOff>
      <xdr:row>154</xdr:row>
      <xdr:rowOff>594540</xdr:rowOff>
    </xdr:to>
    <xdr:pic>
      <xdr:nvPicPr>
        <xdr:cNvPr id="2061" name="Picture 2060">
          <a:extLst>
            <a:ext uri="{FF2B5EF4-FFF2-40B4-BE49-F238E27FC236}">
              <a16:creationId xmlns:a16="http://schemas.microsoft.com/office/drawing/2014/main" id="{9D7DB3EB-0EC1-49DA-A157-8DE727FE516A}"/>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71115861"/>
          <a:ext cx="576000" cy="576000"/>
        </a:xfrm>
        <a:prstGeom prst="rect">
          <a:avLst/>
        </a:prstGeom>
        <a:noFill/>
      </xdr:spPr>
    </xdr:pic>
    <xdr:clientData/>
  </xdr:twoCellAnchor>
  <xdr:twoCellAnchor>
    <xdr:from>
      <xdr:col>4</xdr:col>
      <xdr:colOff>382711</xdr:colOff>
      <xdr:row>153</xdr:row>
      <xdr:rowOff>23810</xdr:rowOff>
    </xdr:from>
    <xdr:to>
      <xdr:col>4</xdr:col>
      <xdr:colOff>958711</xdr:colOff>
      <xdr:row>153</xdr:row>
      <xdr:rowOff>599810</xdr:rowOff>
    </xdr:to>
    <xdr:pic>
      <xdr:nvPicPr>
        <xdr:cNvPr id="2062" name="Picture 2061" descr="head protection">
          <a:extLst>
            <a:ext uri="{FF2B5EF4-FFF2-40B4-BE49-F238E27FC236}">
              <a16:creationId xmlns:a16="http://schemas.microsoft.com/office/drawing/2014/main" id="{29E7CCFE-7776-4D35-B523-F34E2BBE9D7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70512812"/>
          <a:ext cx="576000" cy="576000"/>
        </a:xfrm>
        <a:prstGeom prst="rect">
          <a:avLst/>
        </a:prstGeom>
        <a:noFill/>
        <a:ln>
          <a:noFill/>
        </a:ln>
      </xdr:spPr>
    </xdr:pic>
    <xdr:clientData/>
  </xdr:twoCellAnchor>
  <xdr:twoCellAnchor>
    <xdr:from>
      <xdr:col>4</xdr:col>
      <xdr:colOff>385942</xdr:colOff>
      <xdr:row>156</xdr:row>
      <xdr:rowOff>20407</xdr:rowOff>
    </xdr:from>
    <xdr:to>
      <xdr:col>4</xdr:col>
      <xdr:colOff>961942</xdr:colOff>
      <xdr:row>156</xdr:row>
      <xdr:rowOff>596407</xdr:rowOff>
    </xdr:to>
    <xdr:pic>
      <xdr:nvPicPr>
        <xdr:cNvPr id="2063" name="Picture 2062">
          <a:extLst>
            <a:ext uri="{FF2B5EF4-FFF2-40B4-BE49-F238E27FC236}">
              <a16:creationId xmlns:a16="http://schemas.microsoft.com/office/drawing/2014/main" id="{720A769F-C23A-41EA-AC7A-8D866422A333}"/>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72334367"/>
          <a:ext cx="576000" cy="576000"/>
        </a:xfrm>
        <a:prstGeom prst="rect">
          <a:avLst/>
        </a:prstGeom>
        <a:noFill/>
        <a:ln>
          <a:noFill/>
        </a:ln>
      </xdr:spPr>
    </xdr:pic>
    <xdr:clientData/>
  </xdr:twoCellAnchor>
  <xdr:twoCellAnchor>
    <xdr:from>
      <xdr:col>4</xdr:col>
      <xdr:colOff>388649</xdr:colOff>
      <xdr:row>155</xdr:row>
      <xdr:rowOff>20411</xdr:rowOff>
    </xdr:from>
    <xdr:to>
      <xdr:col>4</xdr:col>
      <xdr:colOff>964649</xdr:colOff>
      <xdr:row>155</xdr:row>
      <xdr:rowOff>595416</xdr:rowOff>
    </xdr:to>
    <xdr:pic>
      <xdr:nvPicPr>
        <xdr:cNvPr id="2064" name="Picture 2063">
          <a:extLst>
            <a:ext uri="{FF2B5EF4-FFF2-40B4-BE49-F238E27FC236}">
              <a16:creationId xmlns:a16="http://schemas.microsoft.com/office/drawing/2014/main" id="{E420DFF0-CA0B-4E8C-9A16-48233C9CEB56}"/>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71726052"/>
          <a:ext cx="576000" cy="575005"/>
        </a:xfrm>
        <a:prstGeom prst="rect">
          <a:avLst/>
        </a:prstGeom>
      </xdr:spPr>
    </xdr:pic>
    <xdr:clientData/>
  </xdr:twoCellAnchor>
  <xdr:twoCellAnchor>
    <xdr:from>
      <xdr:col>4</xdr:col>
      <xdr:colOff>380046</xdr:colOff>
      <xdr:row>158</xdr:row>
      <xdr:rowOff>18141</xdr:rowOff>
    </xdr:from>
    <xdr:to>
      <xdr:col>4</xdr:col>
      <xdr:colOff>956046</xdr:colOff>
      <xdr:row>158</xdr:row>
      <xdr:rowOff>594141</xdr:rowOff>
    </xdr:to>
    <xdr:pic>
      <xdr:nvPicPr>
        <xdr:cNvPr id="2065" name="Picture 2064" descr="safety vests">
          <a:extLst>
            <a:ext uri="{FF2B5EF4-FFF2-40B4-BE49-F238E27FC236}">
              <a16:creationId xmlns:a16="http://schemas.microsoft.com/office/drawing/2014/main" id="{4B61E749-578F-42B6-80A2-16F693F9F6E3}"/>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73548740"/>
          <a:ext cx="576000" cy="576000"/>
        </a:xfrm>
        <a:prstGeom prst="rect">
          <a:avLst/>
        </a:prstGeom>
        <a:noFill/>
        <a:ln>
          <a:noFill/>
        </a:ln>
      </xdr:spPr>
    </xdr:pic>
    <xdr:clientData/>
  </xdr:twoCellAnchor>
  <xdr:twoCellAnchor>
    <xdr:from>
      <xdr:col>4</xdr:col>
      <xdr:colOff>380202</xdr:colOff>
      <xdr:row>157</xdr:row>
      <xdr:rowOff>17010</xdr:rowOff>
    </xdr:from>
    <xdr:to>
      <xdr:col>4</xdr:col>
      <xdr:colOff>956202</xdr:colOff>
      <xdr:row>157</xdr:row>
      <xdr:rowOff>593010</xdr:rowOff>
    </xdr:to>
    <xdr:pic>
      <xdr:nvPicPr>
        <xdr:cNvPr id="2066" name="Picture 2065">
          <a:extLst>
            <a:ext uri="{FF2B5EF4-FFF2-40B4-BE49-F238E27FC236}">
              <a16:creationId xmlns:a16="http://schemas.microsoft.com/office/drawing/2014/main" id="{6250AA29-2351-4804-972E-1B58B8D36F1F}"/>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72939289"/>
          <a:ext cx="576000" cy="576000"/>
        </a:xfrm>
        <a:prstGeom prst="rect">
          <a:avLst/>
        </a:prstGeom>
      </xdr:spPr>
    </xdr:pic>
    <xdr:clientData/>
  </xdr:twoCellAnchor>
  <xdr:twoCellAnchor>
    <xdr:from>
      <xdr:col>4</xdr:col>
      <xdr:colOff>457020</xdr:colOff>
      <xdr:row>161</xdr:row>
      <xdr:rowOff>30345</xdr:rowOff>
    </xdr:from>
    <xdr:to>
      <xdr:col>4</xdr:col>
      <xdr:colOff>889020</xdr:colOff>
      <xdr:row>161</xdr:row>
      <xdr:rowOff>452820</xdr:rowOff>
    </xdr:to>
    <xdr:pic>
      <xdr:nvPicPr>
        <xdr:cNvPr id="2067" name="Picture 2066">
          <a:extLst>
            <a:ext uri="{FF2B5EF4-FFF2-40B4-BE49-F238E27FC236}">
              <a16:creationId xmlns:a16="http://schemas.microsoft.com/office/drawing/2014/main" id="{457EE4A2-87E4-4CD9-9881-F884D5BCB4BC}"/>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75385902"/>
          <a:ext cx="432000" cy="422475"/>
        </a:xfrm>
        <a:prstGeom prst="rect">
          <a:avLst/>
        </a:prstGeom>
        <a:ln>
          <a:solidFill>
            <a:schemeClr val="tx1"/>
          </a:solidFill>
        </a:ln>
      </xdr:spPr>
    </xdr:pic>
    <xdr:clientData/>
  </xdr:twoCellAnchor>
  <xdr:twoCellAnchor>
    <xdr:from>
      <xdr:col>4</xdr:col>
      <xdr:colOff>404994</xdr:colOff>
      <xdr:row>161</xdr:row>
      <xdr:rowOff>30344</xdr:rowOff>
    </xdr:from>
    <xdr:to>
      <xdr:col>4</xdr:col>
      <xdr:colOff>944994</xdr:colOff>
      <xdr:row>161</xdr:row>
      <xdr:rowOff>570344</xdr:rowOff>
    </xdr:to>
    <xdr:pic>
      <xdr:nvPicPr>
        <xdr:cNvPr id="2068" name="Picture 2067">
          <a:extLst>
            <a:ext uri="{FF2B5EF4-FFF2-40B4-BE49-F238E27FC236}">
              <a16:creationId xmlns:a16="http://schemas.microsoft.com/office/drawing/2014/main" id="{734A3842-DE55-49F0-832A-45A68F494A27}"/>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75385901"/>
          <a:ext cx="540000" cy="540000"/>
        </a:xfrm>
        <a:prstGeom prst="rect">
          <a:avLst/>
        </a:prstGeom>
        <a:ln>
          <a:solidFill>
            <a:schemeClr val="tx1"/>
          </a:solidFill>
        </a:ln>
      </xdr:spPr>
    </xdr:pic>
    <xdr:clientData/>
  </xdr:twoCellAnchor>
  <xdr:twoCellAnchor>
    <xdr:from>
      <xdr:col>4</xdr:col>
      <xdr:colOff>379338</xdr:colOff>
      <xdr:row>160</xdr:row>
      <xdr:rowOff>17007</xdr:rowOff>
    </xdr:from>
    <xdr:to>
      <xdr:col>4</xdr:col>
      <xdr:colOff>955338</xdr:colOff>
      <xdr:row>160</xdr:row>
      <xdr:rowOff>593007</xdr:rowOff>
    </xdr:to>
    <xdr:pic>
      <xdr:nvPicPr>
        <xdr:cNvPr id="2069" name="Picture 2068">
          <a:extLst>
            <a:ext uri="{FF2B5EF4-FFF2-40B4-BE49-F238E27FC236}">
              <a16:creationId xmlns:a16="http://schemas.microsoft.com/office/drawing/2014/main" id="{386DBDBC-2541-431F-A881-6B0CB8927B7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74764244"/>
          <a:ext cx="576000" cy="576000"/>
        </a:xfrm>
        <a:prstGeom prst="rect">
          <a:avLst/>
        </a:prstGeom>
        <a:noFill/>
      </xdr:spPr>
    </xdr:pic>
    <xdr:clientData/>
  </xdr:twoCellAnchor>
  <xdr:twoCellAnchor>
    <xdr:from>
      <xdr:col>4</xdr:col>
      <xdr:colOff>380535</xdr:colOff>
      <xdr:row>159</xdr:row>
      <xdr:rowOff>17008</xdr:rowOff>
    </xdr:from>
    <xdr:to>
      <xdr:col>4</xdr:col>
      <xdr:colOff>956535</xdr:colOff>
      <xdr:row>159</xdr:row>
      <xdr:rowOff>593008</xdr:rowOff>
    </xdr:to>
    <xdr:pic>
      <xdr:nvPicPr>
        <xdr:cNvPr id="2070" name="Picture 2069">
          <a:extLst>
            <a:ext uri="{FF2B5EF4-FFF2-40B4-BE49-F238E27FC236}">
              <a16:creationId xmlns:a16="http://schemas.microsoft.com/office/drawing/2014/main" id="{F2C33A34-9451-4D49-9BEC-CD0D5F5DD8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74155926"/>
          <a:ext cx="576000" cy="576000"/>
        </a:xfrm>
        <a:prstGeom prst="rect">
          <a:avLst/>
        </a:prstGeom>
      </xdr:spPr>
    </xdr:pic>
    <xdr:clientData/>
  </xdr:twoCellAnchor>
  <xdr:twoCellAnchor>
    <xdr:from>
      <xdr:col>4</xdr:col>
      <xdr:colOff>363698</xdr:colOff>
      <xdr:row>163</xdr:row>
      <xdr:rowOff>17690</xdr:rowOff>
    </xdr:from>
    <xdr:to>
      <xdr:col>4</xdr:col>
      <xdr:colOff>939698</xdr:colOff>
      <xdr:row>163</xdr:row>
      <xdr:rowOff>593690</xdr:rowOff>
    </xdr:to>
    <xdr:pic>
      <xdr:nvPicPr>
        <xdr:cNvPr id="2071" name="Picture 2070">
          <a:extLst>
            <a:ext uri="{FF2B5EF4-FFF2-40B4-BE49-F238E27FC236}">
              <a16:creationId xmlns:a16="http://schemas.microsoft.com/office/drawing/2014/main" id="{10408FC1-90F3-473A-BFF3-3FA62DEDC1B8}"/>
            </a:ext>
          </a:extLst>
        </xdr:cNvPr>
        <xdr:cNvPicPr>
          <a:picLocks noChangeAspect="1"/>
        </xdr:cNvPicPr>
      </xdr:nvPicPr>
      <xdr:blipFill>
        <a:blip xmlns:r="http://schemas.openxmlformats.org/officeDocument/2006/relationships" r:embed="rId31"/>
        <a:stretch>
          <a:fillRect/>
        </a:stretch>
      </xdr:blipFill>
      <xdr:spPr>
        <a:xfrm>
          <a:off x="3945578" y="78414843"/>
          <a:ext cx="576000" cy="576000"/>
        </a:xfrm>
        <a:prstGeom prst="rect">
          <a:avLst/>
        </a:prstGeom>
      </xdr:spPr>
    </xdr:pic>
    <xdr:clientData/>
  </xdr:twoCellAnchor>
  <xdr:twoCellAnchor>
    <xdr:from>
      <xdr:col>4</xdr:col>
      <xdr:colOff>358776</xdr:colOff>
      <xdr:row>162</xdr:row>
      <xdr:rowOff>16328</xdr:rowOff>
    </xdr:from>
    <xdr:to>
      <xdr:col>4</xdr:col>
      <xdr:colOff>933957</xdr:colOff>
      <xdr:row>162</xdr:row>
      <xdr:rowOff>592328</xdr:rowOff>
    </xdr:to>
    <xdr:pic>
      <xdr:nvPicPr>
        <xdr:cNvPr id="2072" name="Picture 2071">
          <a:extLst>
            <a:ext uri="{FF2B5EF4-FFF2-40B4-BE49-F238E27FC236}">
              <a16:creationId xmlns:a16="http://schemas.microsoft.com/office/drawing/2014/main" id="{9214371E-01C7-4C37-9433-13EBFE28419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0656" y="77805162"/>
          <a:ext cx="575181" cy="576000"/>
        </a:xfrm>
        <a:prstGeom prst="rect">
          <a:avLst/>
        </a:prstGeom>
      </xdr:spPr>
    </xdr:pic>
    <xdr:clientData/>
  </xdr:twoCellAnchor>
  <xdr:twoCellAnchor>
    <xdr:from>
      <xdr:col>4</xdr:col>
      <xdr:colOff>363698</xdr:colOff>
      <xdr:row>164</xdr:row>
      <xdr:rowOff>17690</xdr:rowOff>
    </xdr:from>
    <xdr:to>
      <xdr:col>4</xdr:col>
      <xdr:colOff>939698</xdr:colOff>
      <xdr:row>164</xdr:row>
      <xdr:rowOff>593690</xdr:rowOff>
    </xdr:to>
    <xdr:pic>
      <xdr:nvPicPr>
        <xdr:cNvPr id="2073" name="Picture 2072">
          <a:extLst>
            <a:ext uri="{FF2B5EF4-FFF2-40B4-BE49-F238E27FC236}">
              <a16:creationId xmlns:a16="http://schemas.microsoft.com/office/drawing/2014/main" id="{D2437846-26DC-455A-8C6C-19D5CDD9F4A6}"/>
            </a:ext>
          </a:extLst>
        </xdr:cNvPr>
        <xdr:cNvPicPr>
          <a:picLocks noChangeAspect="1"/>
        </xdr:cNvPicPr>
      </xdr:nvPicPr>
      <xdr:blipFill>
        <a:blip xmlns:r="http://schemas.openxmlformats.org/officeDocument/2006/relationships" r:embed="rId31"/>
        <a:stretch>
          <a:fillRect/>
        </a:stretch>
      </xdr:blipFill>
      <xdr:spPr>
        <a:xfrm>
          <a:off x="3945578" y="79023163"/>
          <a:ext cx="576000" cy="576000"/>
        </a:xfrm>
        <a:prstGeom prst="rect">
          <a:avLst/>
        </a:prstGeom>
      </xdr:spPr>
    </xdr:pic>
    <xdr:clientData/>
  </xdr:twoCellAnchor>
  <xdr:twoCellAnchor>
    <xdr:from>
      <xdr:col>4</xdr:col>
      <xdr:colOff>376921</xdr:colOff>
      <xdr:row>167</xdr:row>
      <xdr:rowOff>12108</xdr:rowOff>
    </xdr:from>
    <xdr:to>
      <xdr:col>4</xdr:col>
      <xdr:colOff>951993</xdr:colOff>
      <xdr:row>167</xdr:row>
      <xdr:rowOff>588108</xdr:rowOff>
    </xdr:to>
    <xdr:pic>
      <xdr:nvPicPr>
        <xdr:cNvPr id="2074" name="Picture 2073">
          <a:extLst>
            <a:ext uri="{FF2B5EF4-FFF2-40B4-BE49-F238E27FC236}">
              <a16:creationId xmlns:a16="http://schemas.microsoft.com/office/drawing/2014/main" id="{C5AF49A3-28C8-45E1-9FBB-C5345849FB7D}"/>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80842539"/>
          <a:ext cx="575072" cy="576000"/>
        </a:xfrm>
        <a:prstGeom prst="rect">
          <a:avLst/>
        </a:prstGeom>
        <a:noFill/>
      </xdr:spPr>
    </xdr:pic>
    <xdr:clientData/>
  </xdr:twoCellAnchor>
  <xdr:twoCellAnchor>
    <xdr:from>
      <xdr:col>4</xdr:col>
      <xdr:colOff>366796</xdr:colOff>
      <xdr:row>166</xdr:row>
      <xdr:rowOff>22676</xdr:rowOff>
    </xdr:from>
    <xdr:to>
      <xdr:col>4</xdr:col>
      <xdr:colOff>942796</xdr:colOff>
      <xdr:row>166</xdr:row>
      <xdr:rowOff>598676</xdr:rowOff>
    </xdr:to>
    <xdr:pic>
      <xdr:nvPicPr>
        <xdr:cNvPr id="2075" name="Picture 2074">
          <a:extLst>
            <a:ext uri="{FF2B5EF4-FFF2-40B4-BE49-F238E27FC236}">
              <a16:creationId xmlns:a16="http://schemas.microsoft.com/office/drawing/2014/main" id="{F2180784-E8E9-4F71-96EB-317CCD55812C}"/>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80244787"/>
          <a:ext cx="576000" cy="576000"/>
        </a:xfrm>
        <a:prstGeom prst="rect">
          <a:avLst/>
        </a:prstGeom>
        <a:noFill/>
      </xdr:spPr>
    </xdr:pic>
    <xdr:clientData/>
  </xdr:twoCellAnchor>
  <xdr:twoCellAnchor>
    <xdr:from>
      <xdr:col>4</xdr:col>
      <xdr:colOff>366796</xdr:colOff>
      <xdr:row>165</xdr:row>
      <xdr:rowOff>22676</xdr:rowOff>
    </xdr:from>
    <xdr:to>
      <xdr:col>4</xdr:col>
      <xdr:colOff>942796</xdr:colOff>
      <xdr:row>165</xdr:row>
      <xdr:rowOff>598676</xdr:rowOff>
    </xdr:to>
    <xdr:pic>
      <xdr:nvPicPr>
        <xdr:cNvPr id="2076" name="Picture 2075">
          <a:extLst>
            <a:ext uri="{FF2B5EF4-FFF2-40B4-BE49-F238E27FC236}">
              <a16:creationId xmlns:a16="http://schemas.microsoft.com/office/drawing/2014/main" id="{9135972F-2E2B-4B84-B526-BEEBA1B7EBE0}"/>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79636468"/>
          <a:ext cx="576000" cy="576000"/>
        </a:xfrm>
        <a:prstGeom prst="rect">
          <a:avLst/>
        </a:prstGeom>
        <a:noFill/>
      </xdr:spPr>
    </xdr:pic>
    <xdr:clientData/>
  </xdr:twoCellAnchor>
  <xdr:twoCellAnchor>
    <xdr:from>
      <xdr:col>4</xdr:col>
      <xdr:colOff>385981</xdr:colOff>
      <xdr:row>169</xdr:row>
      <xdr:rowOff>21543</xdr:rowOff>
    </xdr:from>
    <xdr:to>
      <xdr:col>4</xdr:col>
      <xdr:colOff>961981</xdr:colOff>
      <xdr:row>169</xdr:row>
      <xdr:rowOff>597543</xdr:rowOff>
    </xdr:to>
    <xdr:pic>
      <xdr:nvPicPr>
        <xdr:cNvPr id="2077" name="Picture 2076" descr="hair protection">
          <a:extLst>
            <a:ext uri="{FF2B5EF4-FFF2-40B4-BE49-F238E27FC236}">
              <a16:creationId xmlns:a16="http://schemas.microsoft.com/office/drawing/2014/main" id="{17474B8E-E197-4F04-8B7E-860D447F561E}"/>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82068612"/>
          <a:ext cx="576000" cy="576000"/>
        </a:xfrm>
        <a:prstGeom prst="rect">
          <a:avLst/>
        </a:prstGeom>
        <a:noFill/>
        <a:ln>
          <a:noFill/>
        </a:ln>
      </xdr:spPr>
    </xdr:pic>
    <xdr:clientData/>
  </xdr:twoCellAnchor>
  <xdr:twoCellAnchor>
    <xdr:from>
      <xdr:col>4</xdr:col>
      <xdr:colOff>378200</xdr:colOff>
      <xdr:row>168</xdr:row>
      <xdr:rowOff>15874</xdr:rowOff>
    </xdr:from>
    <xdr:to>
      <xdr:col>4</xdr:col>
      <xdr:colOff>954200</xdr:colOff>
      <xdr:row>168</xdr:row>
      <xdr:rowOff>591874</xdr:rowOff>
    </xdr:to>
    <xdr:pic>
      <xdr:nvPicPr>
        <xdr:cNvPr id="2078" name="Picture 2077">
          <a:extLst>
            <a:ext uri="{FF2B5EF4-FFF2-40B4-BE49-F238E27FC236}">
              <a16:creationId xmlns:a16="http://schemas.microsoft.com/office/drawing/2014/main" id="{0A36212B-46C9-42B3-819B-0994D75D794D}"/>
            </a:ext>
          </a:extLst>
        </xdr:cNvPr>
        <xdr:cNvPicPr>
          <a:picLocks noChangeAspect="1"/>
        </xdr:cNvPicPr>
      </xdr:nvPicPr>
      <xdr:blipFill>
        <a:blip xmlns:r="http://schemas.openxmlformats.org/officeDocument/2006/relationships" r:embed="rId14"/>
        <a:stretch>
          <a:fillRect/>
        </a:stretch>
      </xdr:blipFill>
      <xdr:spPr>
        <a:xfrm>
          <a:off x="3960080" y="81454624"/>
          <a:ext cx="576000" cy="576000"/>
        </a:xfrm>
        <a:prstGeom prst="rect">
          <a:avLst/>
        </a:prstGeom>
      </xdr:spPr>
    </xdr:pic>
    <xdr:clientData/>
  </xdr:twoCellAnchor>
  <xdr:twoCellAnchor>
    <xdr:from>
      <xdr:col>4</xdr:col>
      <xdr:colOff>387002</xdr:colOff>
      <xdr:row>171</xdr:row>
      <xdr:rowOff>18540</xdr:rowOff>
    </xdr:from>
    <xdr:to>
      <xdr:col>4</xdr:col>
      <xdr:colOff>963002</xdr:colOff>
      <xdr:row>171</xdr:row>
      <xdr:rowOff>594540</xdr:rowOff>
    </xdr:to>
    <xdr:pic>
      <xdr:nvPicPr>
        <xdr:cNvPr id="2079" name="Picture 2078">
          <a:extLst>
            <a:ext uri="{FF2B5EF4-FFF2-40B4-BE49-F238E27FC236}">
              <a16:creationId xmlns:a16="http://schemas.microsoft.com/office/drawing/2014/main" id="{E8F94272-2F29-4AB8-9F04-3CC5B9200869}"/>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83282248"/>
          <a:ext cx="576000" cy="576000"/>
        </a:xfrm>
        <a:prstGeom prst="rect">
          <a:avLst/>
        </a:prstGeom>
        <a:noFill/>
      </xdr:spPr>
    </xdr:pic>
    <xdr:clientData/>
  </xdr:twoCellAnchor>
  <xdr:twoCellAnchor>
    <xdr:from>
      <xdr:col>4</xdr:col>
      <xdr:colOff>382711</xdr:colOff>
      <xdr:row>170</xdr:row>
      <xdr:rowOff>23810</xdr:rowOff>
    </xdr:from>
    <xdr:to>
      <xdr:col>4</xdr:col>
      <xdr:colOff>958711</xdr:colOff>
      <xdr:row>170</xdr:row>
      <xdr:rowOff>599810</xdr:rowOff>
    </xdr:to>
    <xdr:pic>
      <xdr:nvPicPr>
        <xdr:cNvPr id="2080" name="Picture 2079" descr="head protection">
          <a:extLst>
            <a:ext uri="{FF2B5EF4-FFF2-40B4-BE49-F238E27FC236}">
              <a16:creationId xmlns:a16="http://schemas.microsoft.com/office/drawing/2014/main" id="{6501AEE5-12F9-401C-A98B-2B777A21C25B}"/>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82679199"/>
          <a:ext cx="576000" cy="576000"/>
        </a:xfrm>
        <a:prstGeom prst="rect">
          <a:avLst/>
        </a:prstGeom>
        <a:noFill/>
        <a:ln>
          <a:noFill/>
        </a:ln>
      </xdr:spPr>
    </xdr:pic>
    <xdr:clientData/>
  </xdr:twoCellAnchor>
  <xdr:twoCellAnchor>
    <xdr:from>
      <xdr:col>4</xdr:col>
      <xdr:colOff>385942</xdr:colOff>
      <xdr:row>173</xdr:row>
      <xdr:rowOff>20407</xdr:rowOff>
    </xdr:from>
    <xdr:to>
      <xdr:col>4</xdr:col>
      <xdr:colOff>961942</xdr:colOff>
      <xdr:row>173</xdr:row>
      <xdr:rowOff>596407</xdr:rowOff>
    </xdr:to>
    <xdr:pic>
      <xdr:nvPicPr>
        <xdr:cNvPr id="2081" name="Picture 2080">
          <a:extLst>
            <a:ext uri="{FF2B5EF4-FFF2-40B4-BE49-F238E27FC236}">
              <a16:creationId xmlns:a16="http://schemas.microsoft.com/office/drawing/2014/main" id="{D1C80A2E-2257-4B35-95D8-8EDEF9F2F19B}"/>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84500754"/>
          <a:ext cx="576000" cy="576000"/>
        </a:xfrm>
        <a:prstGeom prst="rect">
          <a:avLst/>
        </a:prstGeom>
        <a:noFill/>
        <a:ln>
          <a:noFill/>
        </a:ln>
      </xdr:spPr>
    </xdr:pic>
    <xdr:clientData/>
  </xdr:twoCellAnchor>
  <xdr:twoCellAnchor>
    <xdr:from>
      <xdr:col>4</xdr:col>
      <xdr:colOff>388649</xdr:colOff>
      <xdr:row>172</xdr:row>
      <xdr:rowOff>20411</xdr:rowOff>
    </xdr:from>
    <xdr:to>
      <xdr:col>4</xdr:col>
      <xdr:colOff>964649</xdr:colOff>
      <xdr:row>172</xdr:row>
      <xdr:rowOff>595416</xdr:rowOff>
    </xdr:to>
    <xdr:pic>
      <xdr:nvPicPr>
        <xdr:cNvPr id="2082" name="Picture 2081">
          <a:extLst>
            <a:ext uri="{FF2B5EF4-FFF2-40B4-BE49-F238E27FC236}">
              <a16:creationId xmlns:a16="http://schemas.microsoft.com/office/drawing/2014/main" id="{B24258B1-D5A2-4AA9-8369-D84C28CF3B0A}"/>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83892438"/>
          <a:ext cx="576000" cy="575005"/>
        </a:xfrm>
        <a:prstGeom prst="rect">
          <a:avLst/>
        </a:prstGeom>
      </xdr:spPr>
    </xdr:pic>
    <xdr:clientData/>
  </xdr:twoCellAnchor>
  <xdr:twoCellAnchor>
    <xdr:from>
      <xdr:col>4</xdr:col>
      <xdr:colOff>380046</xdr:colOff>
      <xdr:row>175</xdr:row>
      <xdr:rowOff>18141</xdr:rowOff>
    </xdr:from>
    <xdr:to>
      <xdr:col>4</xdr:col>
      <xdr:colOff>956046</xdr:colOff>
      <xdr:row>175</xdr:row>
      <xdr:rowOff>594141</xdr:rowOff>
    </xdr:to>
    <xdr:pic>
      <xdr:nvPicPr>
        <xdr:cNvPr id="2083" name="Picture 2082" descr="safety vests">
          <a:extLst>
            <a:ext uri="{FF2B5EF4-FFF2-40B4-BE49-F238E27FC236}">
              <a16:creationId xmlns:a16="http://schemas.microsoft.com/office/drawing/2014/main" id="{D4295D5A-706A-4450-974E-E2BA7B3470A9}"/>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85715126"/>
          <a:ext cx="576000" cy="576000"/>
        </a:xfrm>
        <a:prstGeom prst="rect">
          <a:avLst/>
        </a:prstGeom>
        <a:noFill/>
        <a:ln>
          <a:noFill/>
        </a:ln>
      </xdr:spPr>
    </xdr:pic>
    <xdr:clientData/>
  </xdr:twoCellAnchor>
  <xdr:twoCellAnchor>
    <xdr:from>
      <xdr:col>4</xdr:col>
      <xdr:colOff>380202</xdr:colOff>
      <xdr:row>174</xdr:row>
      <xdr:rowOff>17010</xdr:rowOff>
    </xdr:from>
    <xdr:to>
      <xdr:col>4</xdr:col>
      <xdr:colOff>956202</xdr:colOff>
      <xdr:row>174</xdr:row>
      <xdr:rowOff>593010</xdr:rowOff>
    </xdr:to>
    <xdr:pic>
      <xdr:nvPicPr>
        <xdr:cNvPr id="2084" name="Picture 2083">
          <a:extLst>
            <a:ext uri="{FF2B5EF4-FFF2-40B4-BE49-F238E27FC236}">
              <a16:creationId xmlns:a16="http://schemas.microsoft.com/office/drawing/2014/main" id="{06A8677A-35B8-4963-80BF-602116E5A4D0}"/>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85105676"/>
          <a:ext cx="576000" cy="576000"/>
        </a:xfrm>
        <a:prstGeom prst="rect">
          <a:avLst/>
        </a:prstGeom>
      </xdr:spPr>
    </xdr:pic>
    <xdr:clientData/>
  </xdr:twoCellAnchor>
  <xdr:twoCellAnchor>
    <xdr:from>
      <xdr:col>4</xdr:col>
      <xdr:colOff>457020</xdr:colOff>
      <xdr:row>178</xdr:row>
      <xdr:rowOff>30345</xdr:rowOff>
    </xdr:from>
    <xdr:to>
      <xdr:col>4</xdr:col>
      <xdr:colOff>889020</xdr:colOff>
      <xdr:row>178</xdr:row>
      <xdr:rowOff>452820</xdr:rowOff>
    </xdr:to>
    <xdr:pic>
      <xdr:nvPicPr>
        <xdr:cNvPr id="2085" name="Picture 2084">
          <a:extLst>
            <a:ext uri="{FF2B5EF4-FFF2-40B4-BE49-F238E27FC236}">
              <a16:creationId xmlns:a16="http://schemas.microsoft.com/office/drawing/2014/main" id="{01013B5F-9EDF-41A9-9B6E-3FD252080AC5}"/>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87552288"/>
          <a:ext cx="432000" cy="422475"/>
        </a:xfrm>
        <a:prstGeom prst="rect">
          <a:avLst/>
        </a:prstGeom>
        <a:ln>
          <a:solidFill>
            <a:schemeClr val="tx1"/>
          </a:solidFill>
        </a:ln>
      </xdr:spPr>
    </xdr:pic>
    <xdr:clientData/>
  </xdr:twoCellAnchor>
  <xdr:twoCellAnchor>
    <xdr:from>
      <xdr:col>4</xdr:col>
      <xdr:colOff>404994</xdr:colOff>
      <xdr:row>178</xdr:row>
      <xdr:rowOff>30344</xdr:rowOff>
    </xdr:from>
    <xdr:to>
      <xdr:col>4</xdr:col>
      <xdr:colOff>944994</xdr:colOff>
      <xdr:row>178</xdr:row>
      <xdr:rowOff>570344</xdr:rowOff>
    </xdr:to>
    <xdr:pic>
      <xdr:nvPicPr>
        <xdr:cNvPr id="2086" name="Picture 2085">
          <a:extLst>
            <a:ext uri="{FF2B5EF4-FFF2-40B4-BE49-F238E27FC236}">
              <a16:creationId xmlns:a16="http://schemas.microsoft.com/office/drawing/2014/main" id="{75EAC539-000F-4A21-8290-6832547A289C}"/>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87552287"/>
          <a:ext cx="540000" cy="540000"/>
        </a:xfrm>
        <a:prstGeom prst="rect">
          <a:avLst/>
        </a:prstGeom>
        <a:ln>
          <a:solidFill>
            <a:schemeClr val="tx1"/>
          </a:solidFill>
        </a:ln>
      </xdr:spPr>
    </xdr:pic>
    <xdr:clientData/>
  </xdr:twoCellAnchor>
  <xdr:twoCellAnchor>
    <xdr:from>
      <xdr:col>4</xdr:col>
      <xdr:colOff>379338</xdr:colOff>
      <xdr:row>177</xdr:row>
      <xdr:rowOff>17007</xdr:rowOff>
    </xdr:from>
    <xdr:to>
      <xdr:col>4</xdr:col>
      <xdr:colOff>955338</xdr:colOff>
      <xdr:row>177</xdr:row>
      <xdr:rowOff>593007</xdr:rowOff>
    </xdr:to>
    <xdr:pic>
      <xdr:nvPicPr>
        <xdr:cNvPr id="2087" name="Picture 2086">
          <a:extLst>
            <a:ext uri="{FF2B5EF4-FFF2-40B4-BE49-F238E27FC236}">
              <a16:creationId xmlns:a16="http://schemas.microsoft.com/office/drawing/2014/main" id="{389D3C82-B179-4BF7-B065-301B4B021C0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86930631"/>
          <a:ext cx="576000" cy="576000"/>
        </a:xfrm>
        <a:prstGeom prst="rect">
          <a:avLst/>
        </a:prstGeom>
        <a:noFill/>
      </xdr:spPr>
    </xdr:pic>
    <xdr:clientData/>
  </xdr:twoCellAnchor>
  <xdr:twoCellAnchor>
    <xdr:from>
      <xdr:col>4</xdr:col>
      <xdr:colOff>380535</xdr:colOff>
      <xdr:row>176</xdr:row>
      <xdr:rowOff>17008</xdr:rowOff>
    </xdr:from>
    <xdr:to>
      <xdr:col>4</xdr:col>
      <xdr:colOff>956535</xdr:colOff>
      <xdr:row>176</xdr:row>
      <xdr:rowOff>593008</xdr:rowOff>
    </xdr:to>
    <xdr:pic>
      <xdr:nvPicPr>
        <xdr:cNvPr id="2088" name="Picture 2087">
          <a:extLst>
            <a:ext uri="{FF2B5EF4-FFF2-40B4-BE49-F238E27FC236}">
              <a16:creationId xmlns:a16="http://schemas.microsoft.com/office/drawing/2014/main" id="{D92A52A0-6850-4719-B147-1B181688AEE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86322313"/>
          <a:ext cx="576000" cy="576000"/>
        </a:xfrm>
        <a:prstGeom prst="rect">
          <a:avLst/>
        </a:prstGeom>
      </xdr:spPr>
    </xdr:pic>
    <xdr:clientData/>
  </xdr:twoCellAnchor>
  <xdr:twoCellAnchor>
    <xdr:from>
      <xdr:col>4</xdr:col>
      <xdr:colOff>363698</xdr:colOff>
      <xdr:row>179</xdr:row>
      <xdr:rowOff>17690</xdr:rowOff>
    </xdr:from>
    <xdr:to>
      <xdr:col>4</xdr:col>
      <xdr:colOff>939698</xdr:colOff>
      <xdr:row>179</xdr:row>
      <xdr:rowOff>593690</xdr:rowOff>
    </xdr:to>
    <xdr:pic>
      <xdr:nvPicPr>
        <xdr:cNvPr id="2090" name="Picture 2089">
          <a:extLst>
            <a:ext uri="{FF2B5EF4-FFF2-40B4-BE49-F238E27FC236}">
              <a16:creationId xmlns:a16="http://schemas.microsoft.com/office/drawing/2014/main" id="{21145EF0-C17D-4676-B78D-84012AF6FDDA}"/>
            </a:ext>
          </a:extLst>
        </xdr:cNvPr>
        <xdr:cNvPicPr>
          <a:picLocks noChangeAspect="1"/>
        </xdr:cNvPicPr>
      </xdr:nvPicPr>
      <xdr:blipFill>
        <a:blip xmlns:r="http://schemas.openxmlformats.org/officeDocument/2006/relationships" r:embed="rId31"/>
        <a:stretch>
          <a:fillRect/>
        </a:stretch>
      </xdr:blipFill>
      <xdr:spPr>
        <a:xfrm>
          <a:off x="3945578" y="88756272"/>
          <a:ext cx="576000" cy="576000"/>
        </a:xfrm>
        <a:prstGeom prst="rect">
          <a:avLst/>
        </a:prstGeom>
      </xdr:spPr>
    </xdr:pic>
    <xdr:clientData/>
  </xdr:twoCellAnchor>
  <xdr:twoCellAnchor>
    <xdr:from>
      <xdr:col>4</xdr:col>
      <xdr:colOff>363698</xdr:colOff>
      <xdr:row>180</xdr:row>
      <xdr:rowOff>17690</xdr:rowOff>
    </xdr:from>
    <xdr:to>
      <xdr:col>4</xdr:col>
      <xdr:colOff>939698</xdr:colOff>
      <xdr:row>180</xdr:row>
      <xdr:rowOff>593690</xdr:rowOff>
    </xdr:to>
    <xdr:pic>
      <xdr:nvPicPr>
        <xdr:cNvPr id="2091" name="Picture 2090">
          <a:extLst>
            <a:ext uri="{FF2B5EF4-FFF2-40B4-BE49-F238E27FC236}">
              <a16:creationId xmlns:a16="http://schemas.microsoft.com/office/drawing/2014/main" id="{3FFD4E0F-1184-4C7A-B77B-7184F67D03D4}"/>
            </a:ext>
          </a:extLst>
        </xdr:cNvPr>
        <xdr:cNvPicPr>
          <a:picLocks noChangeAspect="1"/>
        </xdr:cNvPicPr>
      </xdr:nvPicPr>
      <xdr:blipFill>
        <a:blip xmlns:r="http://schemas.openxmlformats.org/officeDocument/2006/relationships" r:embed="rId31"/>
        <a:stretch>
          <a:fillRect/>
        </a:stretch>
      </xdr:blipFill>
      <xdr:spPr>
        <a:xfrm>
          <a:off x="3945578" y="89364591"/>
          <a:ext cx="576000" cy="576000"/>
        </a:xfrm>
        <a:prstGeom prst="rect">
          <a:avLst/>
        </a:prstGeom>
      </xdr:spPr>
    </xdr:pic>
    <xdr:clientData/>
  </xdr:twoCellAnchor>
  <xdr:twoCellAnchor>
    <xdr:from>
      <xdr:col>4</xdr:col>
      <xdr:colOff>376921</xdr:colOff>
      <xdr:row>183</xdr:row>
      <xdr:rowOff>12108</xdr:rowOff>
    </xdr:from>
    <xdr:to>
      <xdr:col>4</xdr:col>
      <xdr:colOff>951993</xdr:colOff>
      <xdr:row>183</xdr:row>
      <xdr:rowOff>588108</xdr:rowOff>
    </xdr:to>
    <xdr:pic>
      <xdr:nvPicPr>
        <xdr:cNvPr id="2092" name="Picture 2091">
          <a:extLst>
            <a:ext uri="{FF2B5EF4-FFF2-40B4-BE49-F238E27FC236}">
              <a16:creationId xmlns:a16="http://schemas.microsoft.com/office/drawing/2014/main" id="{6F342EF2-05DC-4E14-8E7A-C25AC1A0FD37}"/>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91183967"/>
          <a:ext cx="575072" cy="576000"/>
        </a:xfrm>
        <a:prstGeom prst="rect">
          <a:avLst/>
        </a:prstGeom>
        <a:noFill/>
      </xdr:spPr>
    </xdr:pic>
    <xdr:clientData/>
  </xdr:twoCellAnchor>
  <xdr:twoCellAnchor>
    <xdr:from>
      <xdr:col>4</xdr:col>
      <xdr:colOff>366796</xdr:colOff>
      <xdr:row>182</xdr:row>
      <xdr:rowOff>22676</xdr:rowOff>
    </xdr:from>
    <xdr:to>
      <xdr:col>4</xdr:col>
      <xdr:colOff>942796</xdr:colOff>
      <xdr:row>182</xdr:row>
      <xdr:rowOff>598676</xdr:rowOff>
    </xdr:to>
    <xdr:pic>
      <xdr:nvPicPr>
        <xdr:cNvPr id="2093" name="Picture 2092">
          <a:extLst>
            <a:ext uri="{FF2B5EF4-FFF2-40B4-BE49-F238E27FC236}">
              <a16:creationId xmlns:a16="http://schemas.microsoft.com/office/drawing/2014/main" id="{834EEDEC-38F9-4B30-B88E-296978E21832}"/>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90586216"/>
          <a:ext cx="576000" cy="576000"/>
        </a:xfrm>
        <a:prstGeom prst="rect">
          <a:avLst/>
        </a:prstGeom>
        <a:noFill/>
      </xdr:spPr>
    </xdr:pic>
    <xdr:clientData/>
  </xdr:twoCellAnchor>
  <xdr:twoCellAnchor>
    <xdr:from>
      <xdr:col>4</xdr:col>
      <xdr:colOff>366796</xdr:colOff>
      <xdr:row>181</xdr:row>
      <xdr:rowOff>22676</xdr:rowOff>
    </xdr:from>
    <xdr:to>
      <xdr:col>4</xdr:col>
      <xdr:colOff>942796</xdr:colOff>
      <xdr:row>181</xdr:row>
      <xdr:rowOff>598676</xdr:rowOff>
    </xdr:to>
    <xdr:pic>
      <xdr:nvPicPr>
        <xdr:cNvPr id="2094" name="Picture 2093">
          <a:extLst>
            <a:ext uri="{FF2B5EF4-FFF2-40B4-BE49-F238E27FC236}">
              <a16:creationId xmlns:a16="http://schemas.microsoft.com/office/drawing/2014/main" id="{24BE2B3D-B080-40D5-B431-A81D80B3283F}"/>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89977897"/>
          <a:ext cx="576000" cy="576000"/>
        </a:xfrm>
        <a:prstGeom prst="rect">
          <a:avLst/>
        </a:prstGeom>
        <a:noFill/>
      </xdr:spPr>
    </xdr:pic>
    <xdr:clientData/>
  </xdr:twoCellAnchor>
  <xdr:twoCellAnchor>
    <xdr:from>
      <xdr:col>4</xdr:col>
      <xdr:colOff>385981</xdr:colOff>
      <xdr:row>185</xdr:row>
      <xdr:rowOff>21543</xdr:rowOff>
    </xdr:from>
    <xdr:to>
      <xdr:col>4</xdr:col>
      <xdr:colOff>961981</xdr:colOff>
      <xdr:row>185</xdr:row>
      <xdr:rowOff>597543</xdr:rowOff>
    </xdr:to>
    <xdr:pic>
      <xdr:nvPicPr>
        <xdr:cNvPr id="2095" name="Picture 2094" descr="hair protection">
          <a:extLst>
            <a:ext uri="{FF2B5EF4-FFF2-40B4-BE49-F238E27FC236}">
              <a16:creationId xmlns:a16="http://schemas.microsoft.com/office/drawing/2014/main" id="{1D36A80D-C2C5-4FAA-9768-A7F012F48174}"/>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92410041"/>
          <a:ext cx="576000" cy="576000"/>
        </a:xfrm>
        <a:prstGeom prst="rect">
          <a:avLst/>
        </a:prstGeom>
        <a:noFill/>
        <a:ln>
          <a:noFill/>
        </a:ln>
      </xdr:spPr>
    </xdr:pic>
    <xdr:clientData/>
  </xdr:twoCellAnchor>
  <xdr:twoCellAnchor>
    <xdr:from>
      <xdr:col>4</xdr:col>
      <xdr:colOff>378200</xdr:colOff>
      <xdr:row>184</xdr:row>
      <xdr:rowOff>15874</xdr:rowOff>
    </xdr:from>
    <xdr:to>
      <xdr:col>4</xdr:col>
      <xdr:colOff>954200</xdr:colOff>
      <xdr:row>184</xdr:row>
      <xdr:rowOff>591874</xdr:rowOff>
    </xdr:to>
    <xdr:pic>
      <xdr:nvPicPr>
        <xdr:cNvPr id="2096" name="Picture 2095">
          <a:extLst>
            <a:ext uri="{FF2B5EF4-FFF2-40B4-BE49-F238E27FC236}">
              <a16:creationId xmlns:a16="http://schemas.microsoft.com/office/drawing/2014/main" id="{66BF050F-BCD1-408D-8657-0D6952F720B6}"/>
            </a:ext>
          </a:extLst>
        </xdr:cNvPr>
        <xdr:cNvPicPr>
          <a:picLocks noChangeAspect="1"/>
        </xdr:cNvPicPr>
      </xdr:nvPicPr>
      <xdr:blipFill>
        <a:blip xmlns:r="http://schemas.openxmlformats.org/officeDocument/2006/relationships" r:embed="rId14"/>
        <a:stretch>
          <a:fillRect/>
        </a:stretch>
      </xdr:blipFill>
      <xdr:spPr>
        <a:xfrm>
          <a:off x="3960080" y="91796053"/>
          <a:ext cx="576000" cy="576000"/>
        </a:xfrm>
        <a:prstGeom prst="rect">
          <a:avLst/>
        </a:prstGeom>
      </xdr:spPr>
    </xdr:pic>
    <xdr:clientData/>
  </xdr:twoCellAnchor>
  <xdr:twoCellAnchor>
    <xdr:from>
      <xdr:col>4</xdr:col>
      <xdr:colOff>387002</xdr:colOff>
      <xdr:row>187</xdr:row>
      <xdr:rowOff>18540</xdr:rowOff>
    </xdr:from>
    <xdr:to>
      <xdr:col>4</xdr:col>
      <xdr:colOff>963002</xdr:colOff>
      <xdr:row>187</xdr:row>
      <xdr:rowOff>594540</xdr:rowOff>
    </xdr:to>
    <xdr:pic>
      <xdr:nvPicPr>
        <xdr:cNvPr id="2097" name="Picture 2096">
          <a:extLst>
            <a:ext uri="{FF2B5EF4-FFF2-40B4-BE49-F238E27FC236}">
              <a16:creationId xmlns:a16="http://schemas.microsoft.com/office/drawing/2014/main" id="{FCC7D37B-D065-449F-BCC6-0E5C20A4FF41}"/>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93623677"/>
          <a:ext cx="576000" cy="576000"/>
        </a:xfrm>
        <a:prstGeom prst="rect">
          <a:avLst/>
        </a:prstGeom>
        <a:noFill/>
      </xdr:spPr>
    </xdr:pic>
    <xdr:clientData/>
  </xdr:twoCellAnchor>
  <xdr:twoCellAnchor>
    <xdr:from>
      <xdr:col>4</xdr:col>
      <xdr:colOff>382711</xdr:colOff>
      <xdr:row>186</xdr:row>
      <xdr:rowOff>23810</xdr:rowOff>
    </xdr:from>
    <xdr:to>
      <xdr:col>4</xdr:col>
      <xdr:colOff>958711</xdr:colOff>
      <xdr:row>186</xdr:row>
      <xdr:rowOff>599810</xdr:rowOff>
    </xdr:to>
    <xdr:pic>
      <xdr:nvPicPr>
        <xdr:cNvPr id="2098" name="Picture 2097" descr="head protection">
          <a:extLst>
            <a:ext uri="{FF2B5EF4-FFF2-40B4-BE49-F238E27FC236}">
              <a16:creationId xmlns:a16="http://schemas.microsoft.com/office/drawing/2014/main" id="{C748E943-517D-45DC-ADB5-398FB5C06235}"/>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93020627"/>
          <a:ext cx="576000" cy="576000"/>
        </a:xfrm>
        <a:prstGeom prst="rect">
          <a:avLst/>
        </a:prstGeom>
        <a:noFill/>
        <a:ln>
          <a:noFill/>
        </a:ln>
      </xdr:spPr>
    </xdr:pic>
    <xdr:clientData/>
  </xdr:twoCellAnchor>
  <xdr:twoCellAnchor>
    <xdr:from>
      <xdr:col>4</xdr:col>
      <xdr:colOff>385942</xdr:colOff>
      <xdr:row>189</xdr:row>
      <xdr:rowOff>20407</xdr:rowOff>
    </xdr:from>
    <xdr:to>
      <xdr:col>4</xdr:col>
      <xdr:colOff>961942</xdr:colOff>
      <xdr:row>189</xdr:row>
      <xdr:rowOff>596407</xdr:rowOff>
    </xdr:to>
    <xdr:pic>
      <xdr:nvPicPr>
        <xdr:cNvPr id="2099" name="Picture 2098">
          <a:extLst>
            <a:ext uri="{FF2B5EF4-FFF2-40B4-BE49-F238E27FC236}">
              <a16:creationId xmlns:a16="http://schemas.microsoft.com/office/drawing/2014/main" id="{88C0D2B9-FEF8-492E-872F-0C1517AF4DA7}"/>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94842182"/>
          <a:ext cx="576000" cy="576000"/>
        </a:xfrm>
        <a:prstGeom prst="rect">
          <a:avLst/>
        </a:prstGeom>
        <a:noFill/>
        <a:ln>
          <a:noFill/>
        </a:ln>
      </xdr:spPr>
    </xdr:pic>
    <xdr:clientData/>
  </xdr:twoCellAnchor>
  <xdr:twoCellAnchor>
    <xdr:from>
      <xdr:col>4</xdr:col>
      <xdr:colOff>388649</xdr:colOff>
      <xdr:row>188</xdr:row>
      <xdr:rowOff>20411</xdr:rowOff>
    </xdr:from>
    <xdr:to>
      <xdr:col>4</xdr:col>
      <xdr:colOff>964649</xdr:colOff>
      <xdr:row>188</xdr:row>
      <xdr:rowOff>595416</xdr:rowOff>
    </xdr:to>
    <xdr:pic>
      <xdr:nvPicPr>
        <xdr:cNvPr id="2100" name="Picture 2099">
          <a:extLst>
            <a:ext uri="{FF2B5EF4-FFF2-40B4-BE49-F238E27FC236}">
              <a16:creationId xmlns:a16="http://schemas.microsoft.com/office/drawing/2014/main" id="{2D5DF4F8-E684-40A6-B431-E067348C5B3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94233867"/>
          <a:ext cx="576000" cy="575005"/>
        </a:xfrm>
        <a:prstGeom prst="rect">
          <a:avLst/>
        </a:prstGeom>
      </xdr:spPr>
    </xdr:pic>
    <xdr:clientData/>
  </xdr:twoCellAnchor>
  <xdr:twoCellAnchor>
    <xdr:from>
      <xdr:col>4</xdr:col>
      <xdr:colOff>380046</xdr:colOff>
      <xdr:row>191</xdr:row>
      <xdr:rowOff>18141</xdr:rowOff>
    </xdr:from>
    <xdr:to>
      <xdr:col>4</xdr:col>
      <xdr:colOff>956046</xdr:colOff>
      <xdr:row>191</xdr:row>
      <xdr:rowOff>594141</xdr:rowOff>
    </xdr:to>
    <xdr:pic>
      <xdr:nvPicPr>
        <xdr:cNvPr id="2101" name="Picture 2100" descr="safety vests">
          <a:extLst>
            <a:ext uri="{FF2B5EF4-FFF2-40B4-BE49-F238E27FC236}">
              <a16:creationId xmlns:a16="http://schemas.microsoft.com/office/drawing/2014/main" id="{563A7908-D5EB-483C-8EFA-8549A411A490}"/>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96056555"/>
          <a:ext cx="576000" cy="576000"/>
        </a:xfrm>
        <a:prstGeom prst="rect">
          <a:avLst/>
        </a:prstGeom>
        <a:noFill/>
        <a:ln>
          <a:noFill/>
        </a:ln>
      </xdr:spPr>
    </xdr:pic>
    <xdr:clientData/>
  </xdr:twoCellAnchor>
  <xdr:twoCellAnchor>
    <xdr:from>
      <xdr:col>4</xdr:col>
      <xdr:colOff>380202</xdr:colOff>
      <xdr:row>190</xdr:row>
      <xdr:rowOff>17010</xdr:rowOff>
    </xdr:from>
    <xdr:to>
      <xdr:col>4</xdr:col>
      <xdr:colOff>956202</xdr:colOff>
      <xdr:row>190</xdr:row>
      <xdr:rowOff>593010</xdr:rowOff>
    </xdr:to>
    <xdr:pic>
      <xdr:nvPicPr>
        <xdr:cNvPr id="2102" name="Picture 2101">
          <a:extLst>
            <a:ext uri="{FF2B5EF4-FFF2-40B4-BE49-F238E27FC236}">
              <a16:creationId xmlns:a16="http://schemas.microsoft.com/office/drawing/2014/main" id="{D6519B73-AD4B-4DA3-BF0F-40697B69AE0C}"/>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95447105"/>
          <a:ext cx="576000" cy="576000"/>
        </a:xfrm>
        <a:prstGeom prst="rect">
          <a:avLst/>
        </a:prstGeom>
      </xdr:spPr>
    </xdr:pic>
    <xdr:clientData/>
  </xdr:twoCellAnchor>
  <xdr:twoCellAnchor>
    <xdr:from>
      <xdr:col>4</xdr:col>
      <xdr:colOff>457020</xdr:colOff>
      <xdr:row>194</xdr:row>
      <xdr:rowOff>30345</xdr:rowOff>
    </xdr:from>
    <xdr:to>
      <xdr:col>4</xdr:col>
      <xdr:colOff>889020</xdr:colOff>
      <xdr:row>194</xdr:row>
      <xdr:rowOff>452820</xdr:rowOff>
    </xdr:to>
    <xdr:pic>
      <xdr:nvPicPr>
        <xdr:cNvPr id="2103" name="Picture 2102">
          <a:extLst>
            <a:ext uri="{FF2B5EF4-FFF2-40B4-BE49-F238E27FC236}">
              <a16:creationId xmlns:a16="http://schemas.microsoft.com/office/drawing/2014/main" id="{70E5C9F0-F6B2-4725-9A7A-E2805F487997}"/>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97893717"/>
          <a:ext cx="432000" cy="422475"/>
        </a:xfrm>
        <a:prstGeom prst="rect">
          <a:avLst/>
        </a:prstGeom>
        <a:ln>
          <a:solidFill>
            <a:schemeClr val="tx1"/>
          </a:solidFill>
        </a:ln>
      </xdr:spPr>
    </xdr:pic>
    <xdr:clientData/>
  </xdr:twoCellAnchor>
  <xdr:twoCellAnchor>
    <xdr:from>
      <xdr:col>4</xdr:col>
      <xdr:colOff>404994</xdr:colOff>
      <xdr:row>194</xdr:row>
      <xdr:rowOff>30344</xdr:rowOff>
    </xdr:from>
    <xdr:to>
      <xdr:col>4</xdr:col>
      <xdr:colOff>944994</xdr:colOff>
      <xdr:row>194</xdr:row>
      <xdr:rowOff>570344</xdr:rowOff>
    </xdr:to>
    <xdr:pic>
      <xdr:nvPicPr>
        <xdr:cNvPr id="2104" name="Picture 2103">
          <a:extLst>
            <a:ext uri="{FF2B5EF4-FFF2-40B4-BE49-F238E27FC236}">
              <a16:creationId xmlns:a16="http://schemas.microsoft.com/office/drawing/2014/main" id="{E5198332-2FB9-421C-84F7-689A6E1E6C37}"/>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97893716"/>
          <a:ext cx="540000" cy="540000"/>
        </a:xfrm>
        <a:prstGeom prst="rect">
          <a:avLst/>
        </a:prstGeom>
        <a:ln>
          <a:solidFill>
            <a:schemeClr val="tx1"/>
          </a:solidFill>
        </a:ln>
      </xdr:spPr>
    </xdr:pic>
    <xdr:clientData/>
  </xdr:twoCellAnchor>
  <xdr:twoCellAnchor>
    <xdr:from>
      <xdr:col>4</xdr:col>
      <xdr:colOff>379338</xdr:colOff>
      <xdr:row>193</xdr:row>
      <xdr:rowOff>17007</xdr:rowOff>
    </xdr:from>
    <xdr:to>
      <xdr:col>4</xdr:col>
      <xdr:colOff>955338</xdr:colOff>
      <xdr:row>193</xdr:row>
      <xdr:rowOff>593007</xdr:rowOff>
    </xdr:to>
    <xdr:pic>
      <xdr:nvPicPr>
        <xdr:cNvPr id="2105" name="Picture 2104">
          <a:extLst>
            <a:ext uri="{FF2B5EF4-FFF2-40B4-BE49-F238E27FC236}">
              <a16:creationId xmlns:a16="http://schemas.microsoft.com/office/drawing/2014/main" id="{366B4896-EB09-4F36-9F1C-2C073ECC46D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97272060"/>
          <a:ext cx="576000" cy="576000"/>
        </a:xfrm>
        <a:prstGeom prst="rect">
          <a:avLst/>
        </a:prstGeom>
        <a:noFill/>
      </xdr:spPr>
    </xdr:pic>
    <xdr:clientData/>
  </xdr:twoCellAnchor>
  <xdr:twoCellAnchor>
    <xdr:from>
      <xdr:col>4</xdr:col>
      <xdr:colOff>380535</xdr:colOff>
      <xdr:row>192</xdr:row>
      <xdr:rowOff>17008</xdr:rowOff>
    </xdr:from>
    <xdr:to>
      <xdr:col>4</xdr:col>
      <xdr:colOff>956535</xdr:colOff>
      <xdr:row>192</xdr:row>
      <xdr:rowOff>593008</xdr:rowOff>
    </xdr:to>
    <xdr:pic>
      <xdr:nvPicPr>
        <xdr:cNvPr id="2106" name="Picture 2105">
          <a:extLst>
            <a:ext uri="{FF2B5EF4-FFF2-40B4-BE49-F238E27FC236}">
              <a16:creationId xmlns:a16="http://schemas.microsoft.com/office/drawing/2014/main" id="{B3F10152-EAAA-4FA8-8FC3-B07DAA52D0C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96663741"/>
          <a:ext cx="576000" cy="576000"/>
        </a:xfrm>
        <a:prstGeom prst="rect">
          <a:avLst/>
        </a:prstGeom>
      </xdr:spPr>
    </xdr:pic>
    <xdr:clientData/>
  </xdr:twoCellAnchor>
  <xdr:twoCellAnchor>
    <xdr:from>
      <xdr:col>4</xdr:col>
      <xdr:colOff>363698</xdr:colOff>
      <xdr:row>195</xdr:row>
      <xdr:rowOff>17690</xdr:rowOff>
    </xdr:from>
    <xdr:to>
      <xdr:col>4</xdr:col>
      <xdr:colOff>939698</xdr:colOff>
      <xdr:row>195</xdr:row>
      <xdr:rowOff>593690</xdr:rowOff>
    </xdr:to>
    <xdr:pic>
      <xdr:nvPicPr>
        <xdr:cNvPr id="2107" name="Picture 2106">
          <a:extLst>
            <a:ext uri="{FF2B5EF4-FFF2-40B4-BE49-F238E27FC236}">
              <a16:creationId xmlns:a16="http://schemas.microsoft.com/office/drawing/2014/main" id="{9BCC1902-7C21-4B65-A35F-7F6FEB2BE3E6}"/>
            </a:ext>
          </a:extLst>
        </xdr:cNvPr>
        <xdr:cNvPicPr>
          <a:picLocks noChangeAspect="1"/>
        </xdr:cNvPicPr>
      </xdr:nvPicPr>
      <xdr:blipFill>
        <a:blip xmlns:r="http://schemas.openxmlformats.org/officeDocument/2006/relationships" r:embed="rId31"/>
        <a:stretch>
          <a:fillRect/>
        </a:stretch>
      </xdr:blipFill>
      <xdr:spPr>
        <a:xfrm>
          <a:off x="3945578" y="98489381"/>
          <a:ext cx="576000" cy="576000"/>
        </a:xfrm>
        <a:prstGeom prst="rect">
          <a:avLst/>
        </a:prstGeom>
      </xdr:spPr>
    </xdr:pic>
    <xdr:clientData/>
  </xdr:twoCellAnchor>
  <xdr:twoCellAnchor>
    <xdr:from>
      <xdr:col>4</xdr:col>
      <xdr:colOff>363698</xdr:colOff>
      <xdr:row>196</xdr:row>
      <xdr:rowOff>17690</xdr:rowOff>
    </xdr:from>
    <xdr:to>
      <xdr:col>4</xdr:col>
      <xdr:colOff>939698</xdr:colOff>
      <xdr:row>196</xdr:row>
      <xdr:rowOff>593690</xdr:rowOff>
    </xdr:to>
    <xdr:pic>
      <xdr:nvPicPr>
        <xdr:cNvPr id="2108" name="Picture 2107">
          <a:extLst>
            <a:ext uri="{FF2B5EF4-FFF2-40B4-BE49-F238E27FC236}">
              <a16:creationId xmlns:a16="http://schemas.microsoft.com/office/drawing/2014/main" id="{01F1B568-EE71-4A4F-800B-59787313AC44}"/>
            </a:ext>
          </a:extLst>
        </xdr:cNvPr>
        <xdr:cNvPicPr>
          <a:picLocks noChangeAspect="1"/>
        </xdr:cNvPicPr>
      </xdr:nvPicPr>
      <xdr:blipFill>
        <a:blip xmlns:r="http://schemas.openxmlformats.org/officeDocument/2006/relationships" r:embed="rId31"/>
        <a:stretch>
          <a:fillRect/>
        </a:stretch>
      </xdr:blipFill>
      <xdr:spPr>
        <a:xfrm>
          <a:off x="3945578" y="99097701"/>
          <a:ext cx="576000" cy="576000"/>
        </a:xfrm>
        <a:prstGeom prst="rect">
          <a:avLst/>
        </a:prstGeom>
      </xdr:spPr>
    </xdr:pic>
    <xdr:clientData/>
  </xdr:twoCellAnchor>
  <xdr:twoCellAnchor>
    <xdr:from>
      <xdr:col>4</xdr:col>
      <xdr:colOff>376921</xdr:colOff>
      <xdr:row>199</xdr:row>
      <xdr:rowOff>12108</xdr:rowOff>
    </xdr:from>
    <xdr:to>
      <xdr:col>4</xdr:col>
      <xdr:colOff>951993</xdr:colOff>
      <xdr:row>199</xdr:row>
      <xdr:rowOff>588108</xdr:rowOff>
    </xdr:to>
    <xdr:pic>
      <xdr:nvPicPr>
        <xdr:cNvPr id="2109" name="Picture 2108">
          <a:extLst>
            <a:ext uri="{FF2B5EF4-FFF2-40B4-BE49-F238E27FC236}">
              <a16:creationId xmlns:a16="http://schemas.microsoft.com/office/drawing/2014/main" id="{D086C6CB-81AD-4ED8-B1CF-9D752CEE0846}"/>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100917076"/>
          <a:ext cx="575072" cy="576000"/>
        </a:xfrm>
        <a:prstGeom prst="rect">
          <a:avLst/>
        </a:prstGeom>
        <a:noFill/>
      </xdr:spPr>
    </xdr:pic>
    <xdr:clientData/>
  </xdr:twoCellAnchor>
  <xdr:twoCellAnchor>
    <xdr:from>
      <xdr:col>4</xdr:col>
      <xdr:colOff>366796</xdr:colOff>
      <xdr:row>198</xdr:row>
      <xdr:rowOff>22676</xdr:rowOff>
    </xdr:from>
    <xdr:to>
      <xdr:col>4</xdr:col>
      <xdr:colOff>942796</xdr:colOff>
      <xdr:row>198</xdr:row>
      <xdr:rowOff>598676</xdr:rowOff>
    </xdr:to>
    <xdr:pic>
      <xdr:nvPicPr>
        <xdr:cNvPr id="2110" name="Picture 2109">
          <a:extLst>
            <a:ext uri="{FF2B5EF4-FFF2-40B4-BE49-F238E27FC236}">
              <a16:creationId xmlns:a16="http://schemas.microsoft.com/office/drawing/2014/main" id="{510EFD15-42C7-4D46-ACFD-C20D042D02D8}"/>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00319325"/>
          <a:ext cx="576000" cy="576000"/>
        </a:xfrm>
        <a:prstGeom prst="rect">
          <a:avLst/>
        </a:prstGeom>
        <a:noFill/>
      </xdr:spPr>
    </xdr:pic>
    <xdr:clientData/>
  </xdr:twoCellAnchor>
  <xdr:twoCellAnchor>
    <xdr:from>
      <xdr:col>4</xdr:col>
      <xdr:colOff>366796</xdr:colOff>
      <xdr:row>197</xdr:row>
      <xdr:rowOff>22676</xdr:rowOff>
    </xdr:from>
    <xdr:to>
      <xdr:col>4</xdr:col>
      <xdr:colOff>942796</xdr:colOff>
      <xdr:row>197</xdr:row>
      <xdr:rowOff>598676</xdr:rowOff>
    </xdr:to>
    <xdr:pic>
      <xdr:nvPicPr>
        <xdr:cNvPr id="2111" name="Picture 2110">
          <a:extLst>
            <a:ext uri="{FF2B5EF4-FFF2-40B4-BE49-F238E27FC236}">
              <a16:creationId xmlns:a16="http://schemas.microsoft.com/office/drawing/2014/main" id="{2A24414A-9F99-4293-B201-71E77384A027}"/>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99711006"/>
          <a:ext cx="576000" cy="576000"/>
        </a:xfrm>
        <a:prstGeom prst="rect">
          <a:avLst/>
        </a:prstGeom>
        <a:noFill/>
      </xdr:spPr>
    </xdr:pic>
    <xdr:clientData/>
  </xdr:twoCellAnchor>
  <xdr:twoCellAnchor>
    <xdr:from>
      <xdr:col>4</xdr:col>
      <xdr:colOff>385981</xdr:colOff>
      <xdr:row>201</xdr:row>
      <xdr:rowOff>21543</xdr:rowOff>
    </xdr:from>
    <xdr:to>
      <xdr:col>4</xdr:col>
      <xdr:colOff>961981</xdr:colOff>
      <xdr:row>201</xdr:row>
      <xdr:rowOff>597543</xdr:rowOff>
    </xdr:to>
    <xdr:pic>
      <xdr:nvPicPr>
        <xdr:cNvPr id="2112" name="Picture 2111" descr="hair protection">
          <a:extLst>
            <a:ext uri="{FF2B5EF4-FFF2-40B4-BE49-F238E27FC236}">
              <a16:creationId xmlns:a16="http://schemas.microsoft.com/office/drawing/2014/main" id="{298F203F-043E-4647-9CAF-3980B86239C1}"/>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02143150"/>
          <a:ext cx="576000" cy="576000"/>
        </a:xfrm>
        <a:prstGeom prst="rect">
          <a:avLst/>
        </a:prstGeom>
        <a:noFill/>
        <a:ln>
          <a:noFill/>
        </a:ln>
      </xdr:spPr>
    </xdr:pic>
    <xdr:clientData/>
  </xdr:twoCellAnchor>
  <xdr:twoCellAnchor>
    <xdr:from>
      <xdr:col>4</xdr:col>
      <xdr:colOff>378200</xdr:colOff>
      <xdr:row>200</xdr:row>
      <xdr:rowOff>15874</xdr:rowOff>
    </xdr:from>
    <xdr:to>
      <xdr:col>4</xdr:col>
      <xdr:colOff>954200</xdr:colOff>
      <xdr:row>200</xdr:row>
      <xdr:rowOff>591874</xdr:rowOff>
    </xdr:to>
    <xdr:pic>
      <xdr:nvPicPr>
        <xdr:cNvPr id="2113" name="Picture 2112">
          <a:extLst>
            <a:ext uri="{FF2B5EF4-FFF2-40B4-BE49-F238E27FC236}">
              <a16:creationId xmlns:a16="http://schemas.microsoft.com/office/drawing/2014/main" id="{CE94CAC6-B965-4967-BF2D-C04CC6734588}"/>
            </a:ext>
          </a:extLst>
        </xdr:cNvPr>
        <xdr:cNvPicPr>
          <a:picLocks noChangeAspect="1"/>
        </xdr:cNvPicPr>
      </xdr:nvPicPr>
      <xdr:blipFill>
        <a:blip xmlns:r="http://schemas.openxmlformats.org/officeDocument/2006/relationships" r:embed="rId14"/>
        <a:stretch>
          <a:fillRect/>
        </a:stretch>
      </xdr:blipFill>
      <xdr:spPr>
        <a:xfrm>
          <a:off x="3960080" y="101529162"/>
          <a:ext cx="576000" cy="576000"/>
        </a:xfrm>
        <a:prstGeom prst="rect">
          <a:avLst/>
        </a:prstGeom>
      </xdr:spPr>
    </xdr:pic>
    <xdr:clientData/>
  </xdr:twoCellAnchor>
  <xdr:twoCellAnchor>
    <xdr:from>
      <xdr:col>4</xdr:col>
      <xdr:colOff>387002</xdr:colOff>
      <xdr:row>203</xdr:row>
      <xdr:rowOff>18540</xdr:rowOff>
    </xdr:from>
    <xdr:to>
      <xdr:col>4</xdr:col>
      <xdr:colOff>963002</xdr:colOff>
      <xdr:row>203</xdr:row>
      <xdr:rowOff>594540</xdr:rowOff>
    </xdr:to>
    <xdr:pic>
      <xdr:nvPicPr>
        <xdr:cNvPr id="2114" name="Picture 2113">
          <a:extLst>
            <a:ext uri="{FF2B5EF4-FFF2-40B4-BE49-F238E27FC236}">
              <a16:creationId xmlns:a16="http://schemas.microsoft.com/office/drawing/2014/main" id="{F8295AC6-8011-4717-81D6-70433FF737EB}"/>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03356786"/>
          <a:ext cx="576000" cy="576000"/>
        </a:xfrm>
        <a:prstGeom prst="rect">
          <a:avLst/>
        </a:prstGeom>
        <a:noFill/>
      </xdr:spPr>
    </xdr:pic>
    <xdr:clientData/>
  </xdr:twoCellAnchor>
  <xdr:twoCellAnchor>
    <xdr:from>
      <xdr:col>4</xdr:col>
      <xdr:colOff>382711</xdr:colOff>
      <xdr:row>202</xdr:row>
      <xdr:rowOff>23810</xdr:rowOff>
    </xdr:from>
    <xdr:to>
      <xdr:col>4</xdr:col>
      <xdr:colOff>958711</xdr:colOff>
      <xdr:row>202</xdr:row>
      <xdr:rowOff>599810</xdr:rowOff>
    </xdr:to>
    <xdr:pic>
      <xdr:nvPicPr>
        <xdr:cNvPr id="2115" name="Picture 2114" descr="head protection">
          <a:extLst>
            <a:ext uri="{FF2B5EF4-FFF2-40B4-BE49-F238E27FC236}">
              <a16:creationId xmlns:a16="http://schemas.microsoft.com/office/drawing/2014/main" id="{3918CD60-B8D3-47DB-8C3C-109D992A95CE}"/>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02753736"/>
          <a:ext cx="576000" cy="576000"/>
        </a:xfrm>
        <a:prstGeom prst="rect">
          <a:avLst/>
        </a:prstGeom>
        <a:noFill/>
        <a:ln>
          <a:noFill/>
        </a:ln>
      </xdr:spPr>
    </xdr:pic>
    <xdr:clientData/>
  </xdr:twoCellAnchor>
  <xdr:twoCellAnchor>
    <xdr:from>
      <xdr:col>4</xdr:col>
      <xdr:colOff>385942</xdr:colOff>
      <xdr:row>205</xdr:row>
      <xdr:rowOff>20407</xdr:rowOff>
    </xdr:from>
    <xdr:to>
      <xdr:col>4</xdr:col>
      <xdr:colOff>961942</xdr:colOff>
      <xdr:row>205</xdr:row>
      <xdr:rowOff>596407</xdr:rowOff>
    </xdr:to>
    <xdr:pic>
      <xdr:nvPicPr>
        <xdr:cNvPr id="2116" name="Picture 2115">
          <a:extLst>
            <a:ext uri="{FF2B5EF4-FFF2-40B4-BE49-F238E27FC236}">
              <a16:creationId xmlns:a16="http://schemas.microsoft.com/office/drawing/2014/main" id="{5A18D190-765F-4B0B-9DD5-22BABB2ADFC5}"/>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04575291"/>
          <a:ext cx="576000" cy="576000"/>
        </a:xfrm>
        <a:prstGeom prst="rect">
          <a:avLst/>
        </a:prstGeom>
        <a:noFill/>
        <a:ln>
          <a:noFill/>
        </a:ln>
      </xdr:spPr>
    </xdr:pic>
    <xdr:clientData/>
  </xdr:twoCellAnchor>
  <xdr:twoCellAnchor>
    <xdr:from>
      <xdr:col>4</xdr:col>
      <xdr:colOff>388649</xdr:colOff>
      <xdr:row>204</xdr:row>
      <xdr:rowOff>20411</xdr:rowOff>
    </xdr:from>
    <xdr:to>
      <xdr:col>4</xdr:col>
      <xdr:colOff>964649</xdr:colOff>
      <xdr:row>204</xdr:row>
      <xdr:rowOff>595416</xdr:rowOff>
    </xdr:to>
    <xdr:pic>
      <xdr:nvPicPr>
        <xdr:cNvPr id="2117" name="Picture 2116">
          <a:extLst>
            <a:ext uri="{FF2B5EF4-FFF2-40B4-BE49-F238E27FC236}">
              <a16:creationId xmlns:a16="http://schemas.microsoft.com/office/drawing/2014/main" id="{0F15F15E-6254-407F-83F9-59757CE1DAD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03966976"/>
          <a:ext cx="576000" cy="575005"/>
        </a:xfrm>
        <a:prstGeom prst="rect">
          <a:avLst/>
        </a:prstGeom>
      </xdr:spPr>
    </xdr:pic>
    <xdr:clientData/>
  </xdr:twoCellAnchor>
  <xdr:twoCellAnchor>
    <xdr:from>
      <xdr:col>4</xdr:col>
      <xdr:colOff>380046</xdr:colOff>
      <xdr:row>207</xdr:row>
      <xdr:rowOff>18141</xdr:rowOff>
    </xdr:from>
    <xdr:to>
      <xdr:col>4</xdr:col>
      <xdr:colOff>956046</xdr:colOff>
      <xdr:row>207</xdr:row>
      <xdr:rowOff>594141</xdr:rowOff>
    </xdr:to>
    <xdr:pic>
      <xdr:nvPicPr>
        <xdr:cNvPr id="2118" name="Picture 2117" descr="safety vests">
          <a:extLst>
            <a:ext uri="{FF2B5EF4-FFF2-40B4-BE49-F238E27FC236}">
              <a16:creationId xmlns:a16="http://schemas.microsoft.com/office/drawing/2014/main" id="{9A13B912-108F-4830-B2A4-C2D4D74B6771}"/>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05789664"/>
          <a:ext cx="576000" cy="576000"/>
        </a:xfrm>
        <a:prstGeom prst="rect">
          <a:avLst/>
        </a:prstGeom>
        <a:noFill/>
        <a:ln>
          <a:noFill/>
        </a:ln>
      </xdr:spPr>
    </xdr:pic>
    <xdr:clientData/>
  </xdr:twoCellAnchor>
  <xdr:twoCellAnchor>
    <xdr:from>
      <xdr:col>4</xdr:col>
      <xdr:colOff>380202</xdr:colOff>
      <xdr:row>206</xdr:row>
      <xdr:rowOff>17010</xdr:rowOff>
    </xdr:from>
    <xdr:to>
      <xdr:col>4</xdr:col>
      <xdr:colOff>956202</xdr:colOff>
      <xdr:row>206</xdr:row>
      <xdr:rowOff>593010</xdr:rowOff>
    </xdr:to>
    <xdr:pic>
      <xdr:nvPicPr>
        <xdr:cNvPr id="2119" name="Picture 2118">
          <a:extLst>
            <a:ext uri="{FF2B5EF4-FFF2-40B4-BE49-F238E27FC236}">
              <a16:creationId xmlns:a16="http://schemas.microsoft.com/office/drawing/2014/main" id="{BB679259-BBBB-456A-996A-2B1012E2393F}"/>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05180214"/>
          <a:ext cx="576000" cy="576000"/>
        </a:xfrm>
        <a:prstGeom prst="rect">
          <a:avLst/>
        </a:prstGeom>
      </xdr:spPr>
    </xdr:pic>
    <xdr:clientData/>
  </xdr:twoCellAnchor>
  <xdr:twoCellAnchor>
    <xdr:from>
      <xdr:col>4</xdr:col>
      <xdr:colOff>457020</xdr:colOff>
      <xdr:row>210</xdr:row>
      <xdr:rowOff>30345</xdr:rowOff>
    </xdr:from>
    <xdr:to>
      <xdr:col>4</xdr:col>
      <xdr:colOff>889020</xdr:colOff>
      <xdr:row>210</xdr:row>
      <xdr:rowOff>452820</xdr:rowOff>
    </xdr:to>
    <xdr:pic>
      <xdr:nvPicPr>
        <xdr:cNvPr id="2120" name="Picture 2119">
          <a:extLst>
            <a:ext uri="{FF2B5EF4-FFF2-40B4-BE49-F238E27FC236}">
              <a16:creationId xmlns:a16="http://schemas.microsoft.com/office/drawing/2014/main" id="{3024D0A4-641F-4CF5-BE1E-442CF2AD0B33}"/>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07626826"/>
          <a:ext cx="432000" cy="422475"/>
        </a:xfrm>
        <a:prstGeom prst="rect">
          <a:avLst/>
        </a:prstGeom>
        <a:ln>
          <a:solidFill>
            <a:schemeClr val="tx1"/>
          </a:solidFill>
        </a:ln>
      </xdr:spPr>
    </xdr:pic>
    <xdr:clientData/>
  </xdr:twoCellAnchor>
  <xdr:twoCellAnchor>
    <xdr:from>
      <xdr:col>4</xdr:col>
      <xdr:colOff>404994</xdr:colOff>
      <xdr:row>210</xdr:row>
      <xdr:rowOff>30344</xdr:rowOff>
    </xdr:from>
    <xdr:to>
      <xdr:col>4</xdr:col>
      <xdr:colOff>944994</xdr:colOff>
      <xdr:row>210</xdr:row>
      <xdr:rowOff>570344</xdr:rowOff>
    </xdr:to>
    <xdr:pic>
      <xdr:nvPicPr>
        <xdr:cNvPr id="2121" name="Picture 2120">
          <a:extLst>
            <a:ext uri="{FF2B5EF4-FFF2-40B4-BE49-F238E27FC236}">
              <a16:creationId xmlns:a16="http://schemas.microsoft.com/office/drawing/2014/main" id="{6F033467-3BF1-49F0-8E58-14749F30399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07626825"/>
          <a:ext cx="540000" cy="540000"/>
        </a:xfrm>
        <a:prstGeom prst="rect">
          <a:avLst/>
        </a:prstGeom>
        <a:ln>
          <a:solidFill>
            <a:schemeClr val="tx1"/>
          </a:solidFill>
        </a:ln>
      </xdr:spPr>
    </xdr:pic>
    <xdr:clientData/>
  </xdr:twoCellAnchor>
  <xdr:twoCellAnchor>
    <xdr:from>
      <xdr:col>4</xdr:col>
      <xdr:colOff>379338</xdr:colOff>
      <xdr:row>209</xdr:row>
      <xdr:rowOff>17007</xdr:rowOff>
    </xdr:from>
    <xdr:to>
      <xdr:col>4</xdr:col>
      <xdr:colOff>955338</xdr:colOff>
      <xdr:row>209</xdr:row>
      <xdr:rowOff>593007</xdr:rowOff>
    </xdr:to>
    <xdr:pic>
      <xdr:nvPicPr>
        <xdr:cNvPr id="2122" name="Picture 2121">
          <a:extLst>
            <a:ext uri="{FF2B5EF4-FFF2-40B4-BE49-F238E27FC236}">
              <a16:creationId xmlns:a16="http://schemas.microsoft.com/office/drawing/2014/main" id="{02F3FD29-495B-4D7C-937F-E321BB35AE0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07005169"/>
          <a:ext cx="576000" cy="576000"/>
        </a:xfrm>
        <a:prstGeom prst="rect">
          <a:avLst/>
        </a:prstGeom>
        <a:noFill/>
      </xdr:spPr>
    </xdr:pic>
    <xdr:clientData/>
  </xdr:twoCellAnchor>
  <xdr:twoCellAnchor>
    <xdr:from>
      <xdr:col>4</xdr:col>
      <xdr:colOff>380535</xdr:colOff>
      <xdr:row>208</xdr:row>
      <xdr:rowOff>17008</xdr:rowOff>
    </xdr:from>
    <xdr:to>
      <xdr:col>4</xdr:col>
      <xdr:colOff>956535</xdr:colOff>
      <xdr:row>208</xdr:row>
      <xdr:rowOff>593008</xdr:rowOff>
    </xdr:to>
    <xdr:pic>
      <xdr:nvPicPr>
        <xdr:cNvPr id="2123" name="Picture 2122">
          <a:extLst>
            <a:ext uri="{FF2B5EF4-FFF2-40B4-BE49-F238E27FC236}">
              <a16:creationId xmlns:a16="http://schemas.microsoft.com/office/drawing/2014/main" id="{C73EAA7D-F84B-4EC5-9787-249677153BCE}"/>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06396850"/>
          <a:ext cx="576000" cy="576000"/>
        </a:xfrm>
        <a:prstGeom prst="rect">
          <a:avLst/>
        </a:prstGeom>
      </xdr:spPr>
    </xdr:pic>
    <xdr:clientData/>
  </xdr:twoCellAnchor>
  <xdr:twoCellAnchor>
    <xdr:from>
      <xdr:col>4</xdr:col>
      <xdr:colOff>363698</xdr:colOff>
      <xdr:row>211</xdr:row>
      <xdr:rowOff>17690</xdr:rowOff>
    </xdr:from>
    <xdr:to>
      <xdr:col>4</xdr:col>
      <xdr:colOff>939698</xdr:colOff>
      <xdr:row>211</xdr:row>
      <xdr:rowOff>593690</xdr:rowOff>
    </xdr:to>
    <xdr:pic>
      <xdr:nvPicPr>
        <xdr:cNvPr id="2124" name="Picture 2123">
          <a:extLst>
            <a:ext uri="{FF2B5EF4-FFF2-40B4-BE49-F238E27FC236}">
              <a16:creationId xmlns:a16="http://schemas.microsoft.com/office/drawing/2014/main" id="{006F758D-3C68-415E-BEEF-105CE5B5C6BE}"/>
            </a:ext>
          </a:extLst>
        </xdr:cNvPr>
        <xdr:cNvPicPr>
          <a:picLocks noChangeAspect="1"/>
        </xdr:cNvPicPr>
      </xdr:nvPicPr>
      <xdr:blipFill>
        <a:blip xmlns:r="http://schemas.openxmlformats.org/officeDocument/2006/relationships" r:embed="rId31"/>
        <a:stretch>
          <a:fillRect/>
        </a:stretch>
      </xdr:blipFill>
      <xdr:spPr>
        <a:xfrm>
          <a:off x="3945578" y="108222490"/>
          <a:ext cx="576000" cy="576000"/>
        </a:xfrm>
        <a:prstGeom prst="rect">
          <a:avLst/>
        </a:prstGeom>
      </xdr:spPr>
    </xdr:pic>
    <xdr:clientData/>
  </xdr:twoCellAnchor>
  <xdr:twoCellAnchor>
    <xdr:from>
      <xdr:col>4</xdr:col>
      <xdr:colOff>363698</xdr:colOff>
      <xdr:row>212</xdr:row>
      <xdr:rowOff>17690</xdr:rowOff>
    </xdr:from>
    <xdr:to>
      <xdr:col>4</xdr:col>
      <xdr:colOff>939698</xdr:colOff>
      <xdr:row>212</xdr:row>
      <xdr:rowOff>593690</xdr:rowOff>
    </xdr:to>
    <xdr:pic>
      <xdr:nvPicPr>
        <xdr:cNvPr id="2125" name="Picture 2124">
          <a:extLst>
            <a:ext uri="{FF2B5EF4-FFF2-40B4-BE49-F238E27FC236}">
              <a16:creationId xmlns:a16="http://schemas.microsoft.com/office/drawing/2014/main" id="{E85EC386-3676-459B-A76D-0F3C3563E7CB}"/>
            </a:ext>
          </a:extLst>
        </xdr:cNvPr>
        <xdr:cNvPicPr>
          <a:picLocks noChangeAspect="1"/>
        </xdr:cNvPicPr>
      </xdr:nvPicPr>
      <xdr:blipFill>
        <a:blip xmlns:r="http://schemas.openxmlformats.org/officeDocument/2006/relationships" r:embed="rId31"/>
        <a:stretch>
          <a:fillRect/>
        </a:stretch>
      </xdr:blipFill>
      <xdr:spPr>
        <a:xfrm>
          <a:off x="3945578" y="108830810"/>
          <a:ext cx="576000" cy="576000"/>
        </a:xfrm>
        <a:prstGeom prst="rect">
          <a:avLst/>
        </a:prstGeom>
      </xdr:spPr>
    </xdr:pic>
    <xdr:clientData/>
  </xdr:twoCellAnchor>
  <xdr:twoCellAnchor>
    <xdr:from>
      <xdr:col>4</xdr:col>
      <xdr:colOff>376921</xdr:colOff>
      <xdr:row>215</xdr:row>
      <xdr:rowOff>12108</xdr:rowOff>
    </xdr:from>
    <xdr:to>
      <xdr:col>4</xdr:col>
      <xdr:colOff>951993</xdr:colOff>
      <xdr:row>215</xdr:row>
      <xdr:rowOff>588108</xdr:rowOff>
    </xdr:to>
    <xdr:pic>
      <xdr:nvPicPr>
        <xdr:cNvPr id="2126" name="Picture 2125">
          <a:extLst>
            <a:ext uri="{FF2B5EF4-FFF2-40B4-BE49-F238E27FC236}">
              <a16:creationId xmlns:a16="http://schemas.microsoft.com/office/drawing/2014/main" id="{A65163D2-6B35-4B30-936D-CB2CF1D84FE5}"/>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110650186"/>
          <a:ext cx="575072" cy="576000"/>
        </a:xfrm>
        <a:prstGeom prst="rect">
          <a:avLst/>
        </a:prstGeom>
        <a:noFill/>
      </xdr:spPr>
    </xdr:pic>
    <xdr:clientData/>
  </xdr:twoCellAnchor>
  <xdr:twoCellAnchor>
    <xdr:from>
      <xdr:col>4</xdr:col>
      <xdr:colOff>366796</xdr:colOff>
      <xdr:row>214</xdr:row>
      <xdr:rowOff>22676</xdr:rowOff>
    </xdr:from>
    <xdr:to>
      <xdr:col>4</xdr:col>
      <xdr:colOff>942796</xdr:colOff>
      <xdr:row>214</xdr:row>
      <xdr:rowOff>598676</xdr:rowOff>
    </xdr:to>
    <xdr:pic>
      <xdr:nvPicPr>
        <xdr:cNvPr id="2127" name="Picture 2126">
          <a:extLst>
            <a:ext uri="{FF2B5EF4-FFF2-40B4-BE49-F238E27FC236}">
              <a16:creationId xmlns:a16="http://schemas.microsoft.com/office/drawing/2014/main" id="{92A5BC71-276C-450A-B1F9-080B82AB17B3}"/>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10052434"/>
          <a:ext cx="576000" cy="576000"/>
        </a:xfrm>
        <a:prstGeom prst="rect">
          <a:avLst/>
        </a:prstGeom>
        <a:noFill/>
      </xdr:spPr>
    </xdr:pic>
    <xdr:clientData/>
  </xdr:twoCellAnchor>
  <xdr:twoCellAnchor>
    <xdr:from>
      <xdr:col>4</xdr:col>
      <xdr:colOff>366796</xdr:colOff>
      <xdr:row>213</xdr:row>
      <xdr:rowOff>22676</xdr:rowOff>
    </xdr:from>
    <xdr:to>
      <xdr:col>4</xdr:col>
      <xdr:colOff>942796</xdr:colOff>
      <xdr:row>213</xdr:row>
      <xdr:rowOff>598676</xdr:rowOff>
    </xdr:to>
    <xdr:pic>
      <xdr:nvPicPr>
        <xdr:cNvPr id="2128" name="Picture 2127">
          <a:extLst>
            <a:ext uri="{FF2B5EF4-FFF2-40B4-BE49-F238E27FC236}">
              <a16:creationId xmlns:a16="http://schemas.microsoft.com/office/drawing/2014/main" id="{D7DEE086-819D-4638-A3B6-5D5E462A102B}"/>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09444115"/>
          <a:ext cx="576000" cy="576000"/>
        </a:xfrm>
        <a:prstGeom prst="rect">
          <a:avLst/>
        </a:prstGeom>
        <a:noFill/>
      </xdr:spPr>
    </xdr:pic>
    <xdr:clientData/>
  </xdr:twoCellAnchor>
  <xdr:twoCellAnchor>
    <xdr:from>
      <xdr:col>4</xdr:col>
      <xdr:colOff>385981</xdr:colOff>
      <xdr:row>217</xdr:row>
      <xdr:rowOff>21543</xdr:rowOff>
    </xdr:from>
    <xdr:to>
      <xdr:col>4</xdr:col>
      <xdr:colOff>961981</xdr:colOff>
      <xdr:row>217</xdr:row>
      <xdr:rowOff>597543</xdr:rowOff>
    </xdr:to>
    <xdr:pic>
      <xdr:nvPicPr>
        <xdr:cNvPr id="2129" name="Picture 2128" descr="hair protection">
          <a:extLst>
            <a:ext uri="{FF2B5EF4-FFF2-40B4-BE49-F238E27FC236}">
              <a16:creationId xmlns:a16="http://schemas.microsoft.com/office/drawing/2014/main" id="{D87B44C4-6466-43B6-9D54-0D07A69310F1}"/>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11876259"/>
          <a:ext cx="576000" cy="576000"/>
        </a:xfrm>
        <a:prstGeom prst="rect">
          <a:avLst/>
        </a:prstGeom>
        <a:noFill/>
        <a:ln>
          <a:noFill/>
        </a:ln>
      </xdr:spPr>
    </xdr:pic>
    <xdr:clientData/>
  </xdr:twoCellAnchor>
  <xdr:twoCellAnchor>
    <xdr:from>
      <xdr:col>4</xdr:col>
      <xdr:colOff>378200</xdr:colOff>
      <xdr:row>216</xdr:row>
      <xdr:rowOff>15874</xdr:rowOff>
    </xdr:from>
    <xdr:to>
      <xdr:col>4</xdr:col>
      <xdr:colOff>954200</xdr:colOff>
      <xdr:row>216</xdr:row>
      <xdr:rowOff>591874</xdr:rowOff>
    </xdr:to>
    <xdr:pic>
      <xdr:nvPicPr>
        <xdr:cNvPr id="2130" name="Picture 2129">
          <a:extLst>
            <a:ext uri="{FF2B5EF4-FFF2-40B4-BE49-F238E27FC236}">
              <a16:creationId xmlns:a16="http://schemas.microsoft.com/office/drawing/2014/main" id="{A9427983-4EF2-40FF-9ECC-77B01C2E87C5}"/>
            </a:ext>
          </a:extLst>
        </xdr:cNvPr>
        <xdr:cNvPicPr>
          <a:picLocks noChangeAspect="1"/>
        </xdr:cNvPicPr>
      </xdr:nvPicPr>
      <xdr:blipFill>
        <a:blip xmlns:r="http://schemas.openxmlformats.org/officeDocument/2006/relationships" r:embed="rId14"/>
        <a:stretch>
          <a:fillRect/>
        </a:stretch>
      </xdr:blipFill>
      <xdr:spPr>
        <a:xfrm>
          <a:off x="3960080" y="111262271"/>
          <a:ext cx="576000" cy="576000"/>
        </a:xfrm>
        <a:prstGeom prst="rect">
          <a:avLst/>
        </a:prstGeom>
      </xdr:spPr>
    </xdr:pic>
    <xdr:clientData/>
  </xdr:twoCellAnchor>
  <xdr:twoCellAnchor>
    <xdr:from>
      <xdr:col>4</xdr:col>
      <xdr:colOff>387002</xdr:colOff>
      <xdr:row>219</xdr:row>
      <xdr:rowOff>18540</xdr:rowOff>
    </xdr:from>
    <xdr:to>
      <xdr:col>4</xdr:col>
      <xdr:colOff>963002</xdr:colOff>
      <xdr:row>219</xdr:row>
      <xdr:rowOff>594540</xdr:rowOff>
    </xdr:to>
    <xdr:pic>
      <xdr:nvPicPr>
        <xdr:cNvPr id="2131" name="Picture 2130">
          <a:extLst>
            <a:ext uri="{FF2B5EF4-FFF2-40B4-BE49-F238E27FC236}">
              <a16:creationId xmlns:a16="http://schemas.microsoft.com/office/drawing/2014/main" id="{902AF1FF-FB66-4360-A236-BD553E20E611}"/>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13089895"/>
          <a:ext cx="576000" cy="576000"/>
        </a:xfrm>
        <a:prstGeom prst="rect">
          <a:avLst/>
        </a:prstGeom>
        <a:noFill/>
      </xdr:spPr>
    </xdr:pic>
    <xdr:clientData/>
  </xdr:twoCellAnchor>
  <xdr:twoCellAnchor>
    <xdr:from>
      <xdr:col>4</xdr:col>
      <xdr:colOff>382711</xdr:colOff>
      <xdr:row>218</xdr:row>
      <xdr:rowOff>23810</xdr:rowOff>
    </xdr:from>
    <xdr:to>
      <xdr:col>4</xdr:col>
      <xdr:colOff>958711</xdr:colOff>
      <xdr:row>218</xdr:row>
      <xdr:rowOff>599810</xdr:rowOff>
    </xdr:to>
    <xdr:pic>
      <xdr:nvPicPr>
        <xdr:cNvPr id="2132" name="Picture 2131" descr="head protection">
          <a:extLst>
            <a:ext uri="{FF2B5EF4-FFF2-40B4-BE49-F238E27FC236}">
              <a16:creationId xmlns:a16="http://schemas.microsoft.com/office/drawing/2014/main" id="{65DA8B63-482A-43BB-A872-1725F4A2CE0C}"/>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12486846"/>
          <a:ext cx="576000" cy="576000"/>
        </a:xfrm>
        <a:prstGeom prst="rect">
          <a:avLst/>
        </a:prstGeom>
        <a:noFill/>
        <a:ln>
          <a:noFill/>
        </a:ln>
      </xdr:spPr>
    </xdr:pic>
    <xdr:clientData/>
  </xdr:twoCellAnchor>
  <xdr:twoCellAnchor>
    <xdr:from>
      <xdr:col>4</xdr:col>
      <xdr:colOff>385942</xdr:colOff>
      <xdr:row>221</xdr:row>
      <xdr:rowOff>20407</xdr:rowOff>
    </xdr:from>
    <xdr:to>
      <xdr:col>4</xdr:col>
      <xdr:colOff>961942</xdr:colOff>
      <xdr:row>221</xdr:row>
      <xdr:rowOff>596407</xdr:rowOff>
    </xdr:to>
    <xdr:pic>
      <xdr:nvPicPr>
        <xdr:cNvPr id="2133" name="Picture 2132">
          <a:extLst>
            <a:ext uri="{FF2B5EF4-FFF2-40B4-BE49-F238E27FC236}">
              <a16:creationId xmlns:a16="http://schemas.microsoft.com/office/drawing/2014/main" id="{5DADDEFC-AE5D-416F-8CAA-AF38AD08E608}"/>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14308401"/>
          <a:ext cx="576000" cy="576000"/>
        </a:xfrm>
        <a:prstGeom prst="rect">
          <a:avLst/>
        </a:prstGeom>
        <a:noFill/>
        <a:ln>
          <a:noFill/>
        </a:ln>
      </xdr:spPr>
    </xdr:pic>
    <xdr:clientData/>
  </xdr:twoCellAnchor>
  <xdr:twoCellAnchor>
    <xdr:from>
      <xdr:col>4</xdr:col>
      <xdr:colOff>388649</xdr:colOff>
      <xdr:row>220</xdr:row>
      <xdr:rowOff>20411</xdr:rowOff>
    </xdr:from>
    <xdr:to>
      <xdr:col>4</xdr:col>
      <xdr:colOff>964649</xdr:colOff>
      <xdr:row>220</xdr:row>
      <xdr:rowOff>595416</xdr:rowOff>
    </xdr:to>
    <xdr:pic>
      <xdr:nvPicPr>
        <xdr:cNvPr id="2134" name="Picture 2133">
          <a:extLst>
            <a:ext uri="{FF2B5EF4-FFF2-40B4-BE49-F238E27FC236}">
              <a16:creationId xmlns:a16="http://schemas.microsoft.com/office/drawing/2014/main" id="{3E01F439-9AE3-498E-AC12-D1B14A335CB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13700085"/>
          <a:ext cx="576000" cy="575005"/>
        </a:xfrm>
        <a:prstGeom prst="rect">
          <a:avLst/>
        </a:prstGeom>
      </xdr:spPr>
    </xdr:pic>
    <xdr:clientData/>
  </xdr:twoCellAnchor>
  <xdr:twoCellAnchor>
    <xdr:from>
      <xdr:col>4</xdr:col>
      <xdr:colOff>380046</xdr:colOff>
      <xdr:row>223</xdr:row>
      <xdr:rowOff>18141</xdr:rowOff>
    </xdr:from>
    <xdr:to>
      <xdr:col>4</xdr:col>
      <xdr:colOff>956046</xdr:colOff>
      <xdr:row>223</xdr:row>
      <xdr:rowOff>594141</xdr:rowOff>
    </xdr:to>
    <xdr:pic>
      <xdr:nvPicPr>
        <xdr:cNvPr id="2135" name="Picture 2134" descr="safety vests">
          <a:extLst>
            <a:ext uri="{FF2B5EF4-FFF2-40B4-BE49-F238E27FC236}">
              <a16:creationId xmlns:a16="http://schemas.microsoft.com/office/drawing/2014/main" id="{5DE574C0-13A8-4708-919B-0CB9A8174B2F}"/>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15522773"/>
          <a:ext cx="576000" cy="576000"/>
        </a:xfrm>
        <a:prstGeom prst="rect">
          <a:avLst/>
        </a:prstGeom>
        <a:noFill/>
        <a:ln>
          <a:noFill/>
        </a:ln>
      </xdr:spPr>
    </xdr:pic>
    <xdr:clientData/>
  </xdr:twoCellAnchor>
  <xdr:twoCellAnchor>
    <xdr:from>
      <xdr:col>4</xdr:col>
      <xdr:colOff>380202</xdr:colOff>
      <xdr:row>222</xdr:row>
      <xdr:rowOff>17010</xdr:rowOff>
    </xdr:from>
    <xdr:to>
      <xdr:col>4</xdr:col>
      <xdr:colOff>956202</xdr:colOff>
      <xdr:row>222</xdr:row>
      <xdr:rowOff>593010</xdr:rowOff>
    </xdr:to>
    <xdr:pic>
      <xdr:nvPicPr>
        <xdr:cNvPr id="2136" name="Picture 2135">
          <a:extLst>
            <a:ext uri="{FF2B5EF4-FFF2-40B4-BE49-F238E27FC236}">
              <a16:creationId xmlns:a16="http://schemas.microsoft.com/office/drawing/2014/main" id="{89D4CA8B-9242-4CB8-B90E-C639DEDAC4F1}"/>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14913323"/>
          <a:ext cx="576000" cy="576000"/>
        </a:xfrm>
        <a:prstGeom prst="rect">
          <a:avLst/>
        </a:prstGeom>
      </xdr:spPr>
    </xdr:pic>
    <xdr:clientData/>
  </xdr:twoCellAnchor>
  <xdr:twoCellAnchor>
    <xdr:from>
      <xdr:col>4</xdr:col>
      <xdr:colOff>457020</xdr:colOff>
      <xdr:row>226</xdr:row>
      <xdr:rowOff>30345</xdr:rowOff>
    </xdr:from>
    <xdr:to>
      <xdr:col>4</xdr:col>
      <xdr:colOff>889020</xdr:colOff>
      <xdr:row>226</xdr:row>
      <xdr:rowOff>452820</xdr:rowOff>
    </xdr:to>
    <xdr:pic>
      <xdr:nvPicPr>
        <xdr:cNvPr id="2137" name="Picture 2136">
          <a:extLst>
            <a:ext uri="{FF2B5EF4-FFF2-40B4-BE49-F238E27FC236}">
              <a16:creationId xmlns:a16="http://schemas.microsoft.com/office/drawing/2014/main" id="{2E0BF666-500B-46C0-9D0E-9284DBF942B2}"/>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17359935"/>
          <a:ext cx="432000" cy="422475"/>
        </a:xfrm>
        <a:prstGeom prst="rect">
          <a:avLst/>
        </a:prstGeom>
        <a:ln>
          <a:solidFill>
            <a:schemeClr val="tx1"/>
          </a:solidFill>
        </a:ln>
      </xdr:spPr>
    </xdr:pic>
    <xdr:clientData/>
  </xdr:twoCellAnchor>
  <xdr:twoCellAnchor>
    <xdr:from>
      <xdr:col>4</xdr:col>
      <xdr:colOff>404994</xdr:colOff>
      <xdr:row>226</xdr:row>
      <xdr:rowOff>30344</xdr:rowOff>
    </xdr:from>
    <xdr:to>
      <xdr:col>4</xdr:col>
      <xdr:colOff>944994</xdr:colOff>
      <xdr:row>226</xdr:row>
      <xdr:rowOff>570344</xdr:rowOff>
    </xdr:to>
    <xdr:pic>
      <xdr:nvPicPr>
        <xdr:cNvPr id="2138" name="Picture 2137">
          <a:extLst>
            <a:ext uri="{FF2B5EF4-FFF2-40B4-BE49-F238E27FC236}">
              <a16:creationId xmlns:a16="http://schemas.microsoft.com/office/drawing/2014/main" id="{A41558BC-B013-4D26-9BF9-5DB6DC0FE144}"/>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17359934"/>
          <a:ext cx="540000" cy="540000"/>
        </a:xfrm>
        <a:prstGeom prst="rect">
          <a:avLst/>
        </a:prstGeom>
        <a:ln>
          <a:solidFill>
            <a:schemeClr val="tx1"/>
          </a:solidFill>
        </a:ln>
      </xdr:spPr>
    </xdr:pic>
    <xdr:clientData/>
  </xdr:twoCellAnchor>
  <xdr:twoCellAnchor>
    <xdr:from>
      <xdr:col>4</xdr:col>
      <xdr:colOff>379338</xdr:colOff>
      <xdr:row>225</xdr:row>
      <xdr:rowOff>17007</xdr:rowOff>
    </xdr:from>
    <xdr:to>
      <xdr:col>4</xdr:col>
      <xdr:colOff>955338</xdr:colOff>
      <xdr:row>225</xdr:row>
      <xdr:rowOff>593007</xdr:rowOff>
    </xdr:to>
    <xdr:pic>
      <xdr:nvPicPr>
        <xdr:cNvPr id="2139" name="Picture 2138">
          <a:extLst>
            <a:ext uri="{FF2B5EF4-FFF2-40B4-BE49-F238E27FC236}">
              <a16:creationId xmlns:a16="http://schemas.microsoft.com/office/drawing/2014/main" id="{0B051B13-1285-45D4-B7B8-DB304F1323A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16738278"/>
          <a:ext cx="576000" cy="576000"/>
        </a:xfrm>
        <a:prstGeom prst="rect">
          <a:avLst/>
        </a:prstGeom>
        <a:noFill/>
      </xdr:spPr>
    </xdr:pic>
    <xdr:clientData/>
  </xdr:twoCellAnchor>
  <xdr:twoCellAnchor>
    <xdr:from>
      <xdr:col>4</xdr:col>
      <xdr:colOff>380535</xdr:colOff>
      <xdr:row>224</xdr:row>
      <xdr:rowOff>17008</xdr:rowOff>
    </xdr:from>
    <xdr:to>
      <xdr:col>4</xdr:col>
      <xdr:colOff>956535</xdr:colOff>
      <xdr:row>224</xdr:row>
      <xdr:rowOff>593008</xdr:rowOff>
    </xdr:to>
    <xdr:pic>
      <xdr:nvPicPr>
        <xdr:cNvPr id="2140" name="Picture 2139">
          <a:extLst>
            <a:ext uri="{FF2B5EF4-FFF2-40B4-BE49-F238E27FC236}">
              <a16:creationId xmlns:a16="http://schemas.microsoft.com/office/drawing/2014/main" id="{56FDAAB5-5017-448D-8814-2B8CC7DB445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16129960"/>
          <a:ext cx="576000" cy="576000"/>
        </a:xfrm>
        <a:prstGeom prst="rect">
          <a:avLst/>
        </a:prstGeom>
      </xdr:spPr>
    </xdr:pic>
    <xdr:clientData/>
  </xdr:twoCellAnchor>
  <xdr:twoCellAnchor>
    <xdr:from>
      <xdr:col>4</xdr:col>
      <xdr:colOff>376921</xdr:colOff>
      <xdr:row>229</xdr:row>
      <xdr:rowOff>12108</xdr:rowOff>
    </xdr:from>
    <xdr:to>
      <xdr:col>4</xdr:col>
      <xdr:colOff>951993</xdr:colOff>
      <xdr:row>229</xdr:row>
      <xdr:rowOff>588108</xdr:rowOff>
    </xdr:to>
    <xdr:pic>
      <xdr:nvPicPr>
        <xdr:cNvPr id="2141" name="Picture 2140">
          <a:extLst>
            <a:ext uri="{FF2B5EF4-FFF2-40B4-BE49-F238E27FC236}">
              <a16:creationId xmlns:a16="http://schemas.microsoft.com/office/drawing/2014/main" id="{0675B481-FF34-4F09-8D1E-FED021530512}"/>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120383295"/>
          <a:ext cx="575072" cy="576000"/>
        </a:xfrm>
        <a:prstGeom prst="rect">
          <a:avLst/>
        </a:prstGeom>
        <a:noFill/>
      </xdr:spPr>
    </xdr:pic>
    <xdr:clientData/>
  </xdr:twoCellAnchor>
  <xdr:twoCellAnchor>
    <xdr:from>
      <xdr:col>4</xdr:col>
      <xdr:colOff>366796</xdr:colOff>
      <xdr:row>228</xdr:row>
      <xdr:rowOff>22676</xdr:rowOff>
    </xdr:from>
    <xdr:to>
      <xdr:col>4</xdr:col>
      <xdr:colOff>942796</xdr:colOff>
      <xdr:row>228</xdr:row>
      <xdr:rowOff>598676</xdr:rowOff>
    </xdr:to>
    <xdr:pic>
      <xdr:nvPicPr>
        <xdr:cNvPr id="2142" name="Picture 2141">
          <a:extLst>
            <a:ext uri="{FF2B5EF4-FFF2-40B4-BE49-F238E27FC236}">
              <a16:creationId xmlns:a16="http://schemas.microsoft.com/office/drawing/2014/main" id="{C5ED12E0-2FCA-476C-912D-06A5DFA2FA1E}"/>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19785544"/>
          <a:ext cx="576000" cy="576000"/>
        </a:xfrm>
        <a:prstGeom prst="rect">
          <a:avLst/>
        </a:prstGeom>
        <a:noFill/>
      </xdr:spPr>
    </xdr:pic>
    <xdr:clientData/>
  </xdr:twoCellAnchor>
  <xdr:twoCellAnchor>
    <xdr:from>
      <xdr:col>4</xdr:col>
      <xdr:colOff>366796</xdr:colOff>
      <xdr:row>227</xdr:row>
      <xdr:rowOff>22676</xdr:rowOff>
    </xdr:from>
    <xdr:to>
      <xdr:col>4</xdr:col>
      <xdr:colOff>942796</xdr:colOff>
      <xdr:row>227</xdr:row>
      <xdr:rowOff>598676</xdr:rowOff>
    </xdr:to>
    <xdr:pic>
      <xdr:nvPicPr>
        <xdr:cNvPr id="2143" name="Picture 2142">
          <a:extLst>
            <a:ext uri="{FF2B5EF4-FFF2-40B4-BE49-F238E27FC236}">
              <a16:creationId xmlns:a16="http://schemas.microsoft.com/office/drawing/2014/main" id="{2BB900EE-0FED-4A52-91C0-55F8FB40568C}"/>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19177224"/>
          <a:ext cx="576000" cy="576000"/>
        </a:xfrm>
        <a:prstGeom prst="rect">
          <a:avLst/>
        </a:prstGeom>
        <a:noFill/>
      </xdr:spPr>
    </xdr:pic>
    <xdr:clientData/>
  </xdr:twoCellAnchor>
  <xdr:twoCellAnchor>
    <xdr:from>
      <xdr:col>4</xdr:col>
      <xdr:colOff>385981</xdr:colOff>
      <xdr:row>231</xdr:row>
      <xdr:rowOff>21543</xdr:rowOff>
    </xdr:from>
    <xdr:to>
      <xdr:col>4</xdr:col>
      <xdr:colOff>961981</xdr:colOff>
      <xdr:row>231</xdr:row>
      <xdr:rowOff>597543</xdr:rowOff>
    </xdr:to>
    <xdr:pic>
      <xdr:nvPicPr>
        <xdr:cNvPr id="2144" name="Picture 2143" descr="hair protection">
          <a:extLst>
            <a:ext uri="{FF2B5EF4-FFF2-40B4-BE49-F238E27FC236}">
              <a16:creationId xmlns:a16="http://schemas.microsoft.com/office/drawing/2014/main" id="{7EA1AFB1-542B-4EC2-80A7-45C71DC7CE34}"/>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21609369"/>
          <a:ext cx="576000" cy="576000"/>
        </a:xfrm>
        <a:prstGeom prst="rect">
          <a:avLst/>
        </a:prstGeom>
        <a:noFill/>
        <a:ln>
          <a:noFill/>
        </a:ln>
      </xdr:spPr>
    </xdr:pic>
    <xdr:clientData/>
  </xdr:twoCellAnchor>
  <xdr:twoCellAnchor>
    <xdr:from>
      <xdr:col>4</xdr:col>
      <xdr:colOff>378200</xdr:colOff>
      <xdr:row>230</xdr:row>
      <xdr:rowOff>15874</xdr:rowOff>
    </xdr:from>
    <xdr:to>
      <xdr:col>4</xdr:col>
      <xdr:colOff>954200</xdr:colOff>
      <xdr:row>230</xdr:row>
      <xdr:rowOff>591874</xdr:rowOff>
    </xdr:to>
    <xdr:pic>
      <xdr:nvPicPr>
        <xdr:cNvPr id="2145" name="Picture 2144">
          <a:extLst>
            <a:ext uri="{FF2B5EF4-FFF2-40B4-BE49-F238E27FC236}">
              <a16:creationId xmlns:a16="http://schemas.microsoft.com/office/drawing/2014/main" id="{A0A7750A-097C-4317-99A7-79D10B34E697}"/>
            </a:ext>
          </a:extLst>
        </xdr:cNvPr>
        <xdr:cNvPicPr>
          <a:picLocks noChangeAspect="1"/>
        </xdr:cNvPicPr>
      </xdr:nvPicPr>
      <xdr:blipFill>
        <a:blip xmlns:r="http://schemas.openxmlformats.org/officeDocument/2006/relationships" r:embed="rId14"/>
        <a:stretch>
          <a:fillRect/>
        </a:stretch>
      </xdr:blipFill>
      <xdr:spPr>
        <a:xfrm>
          <a:off x="3960080" y="120995380"/>
          <a:ext cx="576000" cy="576000"/>
        </a:xfrm>
        <a:prstGeom prst="rect">
          <a:avLst/>
        </a:prstGeom>
      </xdr:spPr>
    </xdr:pic>
    <xdr:clientData/>
  </xdr:twoCellAnchor>
  <xdr:twoCellAnchor>
    <xdr:from>
      <xdr:col>4</xdr:col>
      <xdr:colOff>387002</xdr:colOff>
      <xdr:row>233</xdr:row>
      <xdr:rowOff>18540</xdr:rowOff>
    </xdr:from>
    <xdr:to>
      <xdr:col>4</xdr:col>
      <xdr:colOff>963002</xdr:colOff>
      <xdr:row>233</xdr:row>
      <xdr:rowOff>594540</xdr:rowOff>
    </xdr:to>
    <xdr:pic>
      <xdr:nvPicPr>
        <xdr:cNvPr id="2146" name="Picture 2145">
          <a:extLst>
            <a:ext uri="{FF2B5EF4-FFF2-40B4-BE49-F238E27FC236}">
              <a16:creationId xmlns:a16="http://schemas.microsoft.com/office/drawing/2014/main" id="{AA75237A-3AC7-4577-A161-8A1271B1FC31}"/>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22823004"/>
          <a:ext cx="576000" cy="576000"/>
        </a:xfrm>
        <a:prstGeom prst="rect">
          <a:avLst/>
        </a:prstGeom>
        <a:noFill/>
      </xdr:spPr>
    </xdr:pic>
    <xdr:clientData/>
  </xdr:twoCellAnchor>
  <xdr:twoCellAnchor>
    <xdr:from>
      <xdr:col>4</xdr:col>
      <xdr:colOff>382711</xdr:colOff>
      <xdr:row>232</xdr:row>
      <xdr:rowOff>23810</xdr:rowOff>
    </xdr:from>
    <xdr:to>
      <xdr:col>4</xdr:col>
      <xdr:colOff>958711</xdr:colOff>
      <xdr:row>232</xdr:row>
      <xdr:rowOff>599810</xdr:rowOff>
    </xdr:to>
    <xdr:pic>
      <xdr:nvPicPr>
        <xdr:cNvPr id="2147" name="Picture 2146" descr="head protection">
          <a:extLst>
            <a:ext uri="{FF2B5EF4-FFF2-40B4-BE49-F238E27FC236}">
              <a16:creationId xmlns:a16="http://schemas.microsoft.com/office/drawing/2014/main" id="{B4A632C1-B4DC-4B0C-91D9-298400B88A27}"/>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22219955"/>
          <a:ext cx="576000" cy="576000"/>
        </a:xfrm>
        <a:prstGeom prst="rect">
          <a:avLst/>
        </a:prstGeom>
        <a:noFill/>
        <a:ln>
          <a:noFill/>
        </a:ln>
      </xdr:spPr>
    </xdr:pic>
    <xdr:clientData/>
  </xdr:twoCellAnchor>
  <xdr:twoCellAnchor>
    <xdr:from>
      <xdr:col>4</xdr:col>
      <xdr:colOff>385942</xdr:colOff>
      <xdr:row>235</xdr:row>
      <xdr:rowOff>20407</xdr:rowOff>
    </xdr:from>
    <xdr:to>
      <xdr:col>4</xdr:col>
      <xdr:colOff>961942</xdr:colOff>
      <xdr:row>235</xdr:row>
      <xdr:rowOff>596407</xdr:rowOff>
    </xdr:to>
    <xdr:pic>
      <xdr:nvPicPr>
        <xdr:cNvPr id="2148" name="Picture 2147">
          <a:extLst>
            <a:ext uri="{FF2B5EF4-FFF2-40B4-BE49-F238E27FC236}">
              <a16:creationId xmlns:a16="http://schemas.microsoft.com/office/drawing/2014/main" id="{E680D119-CC80-4C73-86C3-CD8E8BAA19DD}"/>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24041510"/>
          <a:ext cx="576000" cy="576000"/>
        </a:xfrm>
        <a:prstGeom prst="rect">
          <a:avLst/>
        </a:prstGeom>
        <a:noFill/>
        <a:ln>
          <a:noFill/>
        </a:ln>
      </xdr:spPr>
    </xdr:pic>
    <xdr:clientData/>
  </xdr:twoCellAnchor>
  <xdr:twoCellAnchor>
    <xdr:from>
      <xdr:col>4</xdr:col>
      <xdr:colOff>388649</xdr:colOff>
      <xdr:row>234</xdr:row>
      <xdr:rowOff>20411</xdr:rowOff>
    </xdr:from>
    <xdr:to>
      <xdr:col>4</xdr:col>
      <xdr:colOff>964649</xdr:colOff>
      <xdr:row>234</xdr:row>
      <xdr:rowOff>595416</xdr:rowOff>
    </xdr:to>
    <xdr:pic>
      <xdr:nvPicPr>
        <xdr:cNvPr id="2149" name="Picture 2148">
          <a:extLst>
            <a:ext uri="{FF2B5EF4-FFF2-40B4-BE49-F238E27FC236}">
              <a16:creationId xmlns:a16="http://schemas.microsoft.com/office/drawing/2014/main" id="{58AAD90B-68DF-4437-974E-4F6FACF0005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23433195"/>
          <a:ext cx="576000" cy="575005"/>
        </a:xfrm>
        <a:prstGeom prst="rect">
          <a:avLst/>
        </a:prstGeom>
      </xdr:spPr>
    </xdr:pic>
    <xdr:clientData/>
  </xdr:twoCellAnchor>
  <xdr:twoCellAnchor>
    <xdr:from>
      <xdr:col>4</xdr:col>
      <xdr:colOff>380046</xdr:colOff>
      <xdr:row>237</xdr:row>
      <xdr:rowOff>18141</xdr:rowOff>
    </xdr:from>
    <xdr:to>
      <xdr:col>4</xdr:col>
      <xdr:colOff>956046</xdr:colOff>
      <xdr:row>237</xdr:row>
      <xdr:rowOff>594141</xdr:rowOff>
    </xdr:to>
    <xdr:pic>
      <xdr:nvPicPr>
        <xdr:cNvPr id="2150" name="Picture 2149" descr="safety vests">
          <a:extLst>
            <a:ext uri="{FF2B5EF4-FFF2-40B4-BE49-F238E27FC236}">
              <a16:creationId xmlns:a16="http://schemas.microsoft.com/office/drawing/2014/main" id="{A84A1BFC-8F91-47C8-98FE-CA897126FF0F}"/>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25255883"/>
          <a:ext cx="576000" cy="576000"/>
        </a:xfrm>
        <a:prstGeom prst="rect">
          <a:avLst/>
        </a:prstGeom>
        <a:noFill/>
        <a:ln>
          <a:noFill/>
        </a:ln>
      </xdr:spPr>
    </xdr:pic>
    <xdr:clientData/>
  </xdr:twoCellAnchor>
  <xdr:twoCellAnchor>
    <xdr:from>
      <xdr:col>4</xdr:col>
      <xdr:colOff>380202</xdr:colOff>
      <xdr:row>236</xdr:row>
      <xdr:rowOff>17010</xdr:rowOff>
    </xdr:from>
    <xdr:to>
      <xdr:col>4</xdr:col>
      <xdr:colOff>956202</xdr:colOff>
      <xdr:row>236</xdr:row>
      <xdr:rowOff>593010</xdr:rowOff>
    </xdr:to>
    <xdr:pic>
      <xdr:nvPicPr>
        <xdr:cNvPr id="2151" name="Picture 2150">
          <a:extLst>
            <a:ext uri="{FF2B5EF4-FFF2-40B4-BE49-F238E27FC236}">
              <a16:creationId xmlns:a16="http://schemas.microsoft.com/office/drawing/2014/main" id="{DCB595D7-1A52-47DF-AB46-D3ECD657D0CA}"/>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24646432"/>
          <a:ext cx="576000" cy="576000"/>
        </a:xfrm>
        <a:prstGeom prst="rect">
          <a:avLst/>
        </a:prstGeom>
      </xdr:spPr>
    </xdr:pic>
    <xdr:clientData/>
  </xdr:twoCellAnchor>
  <xdr:twoCellAnchor>
    <xdr:from>
      <xdr:col>4</xdr:col>
      <xdr:colOff>457020</xdr:colOff>
      <xdr:row>240</xdr:row>
      <xdr:rowOff>30345</xdr:rowOff>
    </xdr:from>
    <xdr:to>
      <xdr:col>4</xdr:col>
      <xdr:colOff>889020</xdr:colOff>
      <xdr:row>240</xdr:row>
      <xdr:rowOff>452820</xdr:rowOff>
    </xdr:to>
    <xdr:pic>
      <xdr:nvPicPr>
        <xdr:cNvPr id="2152" name="Picture 2151">
          <a:extLst>
            <a:ext uri="{FF2B5EF4-FFF2-40B4-BE49-F238E27FC236}">
              <a16:creationId xmlns:a16="http://schemas.microsoft.com/office/drawing/2014/main" id="{2DDB9F7C-E102-4605-9726-72A8C10E42A1}"/>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27093045"/>
          <a:ext cx="432000" cy="422475"/>
        </a:xfrm>
        <a:prstGeom prst="rect">
          <a:avLst/>
        </a:prstGeom>
        <a:ln>
          <a:solidFill>
            <a:schemeClr val="tx1"/>
          </a:solidFill>
        </a:ln>
      </xdr:spPr>
    </xdr:pic>
    <xdr:clientData/>
  </xdr:twoCellAnchor>
  <xdr:twoCellAnchor>
    <xdr:from>
      <xdr:col>4</xdr:col>
      <xdr:colOff>404994</xdr:colOff>
      <xdr:row>240</xdr:row>
      <xdr:rowOff>30344</xdr:rowOff>
    </xdr:from>
    <xdr:to>
      <xdr:col>4</xdr:col>
      <xdr:colOff>944994</xdr:colOff>
      <xdr:row>240</xdr:row>
      <xdr:rowOff>570344</xdr:rowOff>
    </xdr:to>
    <xdr:pic>
      <xdr:nvPicPr>
        <xdr:cNvPr id="2153" name="Picture 2152">
          <a:extLst>
            <a:ext uri="{FF2B5EF4-FFF2-40B4-BE49-F238E27FC236}">
              <a16:creationId xmlns:a16="http://schemas.microsoft.com/office/drawing/2014/main" id="{23824CA6-F139-428D-9A4F-F78209EF8697}"/>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27093044"/>
          <a:ext cx="540000" cy="540000"/>
        </a:xfrm>
        <a:prstGeom prst="rect">
          <a:avLst/>
        </a:prstGeom>
        <a:ln>
          <a:solidFill>
            <a:schemeClr val="tx1"/>
          </a:solidFill>
        </a:ln>
      </xdr:spPr>
    </xdr:pic>
    <xdr:clientData/>
  </xdr:twoCellAnchor>
  <xdr:twoCellAnchor>
    <xdr:from>
      <xdr:col>4</xdr:col>
      <xdr:colOff>379338</xdr:colOff>
      <xdr:row>239</xdr:row>
      <xdr:rowOff>17007</xdr:rowOff>
    </xdr:from>
    <xdr:to>
      <xdr:col>4</xdr:col>
      <xdr:colOff>955338</xdr:colOff>
      <xdr:row>239</xdr:row>
      <xdr:rowOff>593007</xdr:rowOff>
    </xdr:to>
    <xdr:pic>
      <xdr:nvPicPr>
        <xdr:cNvPr id="2154" name="Picture 2153">
          <a:extLst>
            <a:ext uri="{FF2B5EF4-FFF2-40B4-BE49-F238E27FC236}">
              <a16:creationId xmlns:a16="http://schemas.microsoft.com/office/drawing/2014/main" id="{F4771A0A-7EEC-43CA-A541-BF3FD3FC488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26471387"/>
          <a:ext cx="576000" cy="576000"/>
        </a:xfrm>
        <a:prstGeom prst="rect">
          <a:avLst/>
        </a:prstGeom>
        <a:noFill/>
      </xdr:spPr>
    </xdr:pic>
    <xdr:clientData/>
  </xdr:twoCellAnchor>
  <xdr:twoCellAnchor>
    <xdr:from>
      <xdr:col>4</xdr:col>
      <xdr:colOff>380535</xdr:colOff>
      <xdr:row>238</xdr:row>
      <xdr:rowOff>17008</xdr:rowOff>
    </xdr:from>
    <xdr:to>
      <xdr:col>4</xdr:col>
      <xdr:colOff>956535</xdr:colOff>
      <xdr:row>238</xdr:row>
      <xdr:rowOff>593008</xdr:rowOff>
    </xdr:to>
    <xdr:pic>
      <xdr:nvPicPr>
        <xdr:cNvPr id="2155" name="Picture 2154">
          <a:extLst>
            <a:ext uri="{FF2B5EF4-FFF2-40B4-BE49-F238E27FC236}">
              <a16:creationId xmlns:a16="http://schemas.microsoft.com/office/drawing/2014/main" id="{CE51D1DB-7139-4DB7-856D-A849CB4E82DD}"/>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25863069"/>
          <a:ext cx="576000" cy="576000"/>
        </a:xfrm>
        <a:prstGeom prst="rect">
          <a:avLst/>
        </a:prstGeom>
      </xdr:spPr>
    </xdr:pic>
    <xdr:clientData/>
  </xdr:twoCellAnchor>
  <xdr:twoCellAnchor>
    <xdr:from>
      <xdr:col>4</xdr:col>
      <xdr:colOff>376921</xdr:colOff>
      <xdr:row>243</xdr:row>
      <xdr:rowOff>12108</xdr:rowOff>
    </xdr:from>
    <xdr:to>
      <xdr:col>4</xdr:col>
      <xdr:colOff>951993</xdr:colOff>
      <xdr:row>243</xdr:row>
      <xdr:rowOff>588108</xdr:rowOff>
    </xdr:to>
    <xdr:pic>
      <xdr:nvPicPr>
        <xdr:cNvPr id="2156" name="Picture 2155">
          <a:extLst>
            <a:ext uri="{FF2B5EF4-FFF2-40B4-BE49-F238E27FC236}">
              <a16:creationId xmlns:a16="http://schemas.microsoft.com/office/drawing/2014/main" id="{B719FD40-5E39-4410-9CBA-4F1DA08AA46F}"/>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120383295"/>
          <a:ext cx="575072" cy="576000"/>
        </a:xfrm>
        <a:prstGeom prst="rect">
          <a:avLst/>
        </a:prstGeom>
        <a:noFill/>
      </xdr:spPr>
    </xdr:pic>
    <xdr:clientData/>
  </xdr:twoCellAnchor>
  <xdr:twoCellAnchor>
    <xdr:from>
      <xdr:col>4</xdr:col>
      <xdr:colOff>366796</xdr:colOff>
      <xdr:row>242</xdr:row>
      <xdr:rowOff>22676</xdr:rowOff>
    </xdr:from>
    <xdr:to>
      <xdr:col>4</xdr:col>
      <xdr:colOff>942796</xdr:colOff>
      <xdr:row>242</xdr:row>
      <xdr:rowOff>598676</xdr:rowOff>
    </xdr:to>
    <xdr:pic>
      <xdr:nvPicPr>
        <xdr:cNvPr id="2157" name="Picture 2156">
          <a:extLst>
            <a:ext uri="{FF2B5EF4-FFF2-40B4-BE49-F238E27FC236}">
              <a16:creationId xmlns:a16="http://schemas.microsoft.com/office/drawing/2014/main" id="{C03D1CF7-377F-48B8-B94B-501B789FCB88}"/>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19785544"/>
          <a:ext cx="576000" cy="576000"/>
        </a:xfrm>
        <a:prstGeom prst="rect">
          <a:avLst/>
        </a:prstGeom>
        <a:noFill/>
      </xdr:spPr>
    </xdr:pic>
    <xdr:clientData/>
  </xdr:twoCellAnchor>
  <xdr:twoCellAnchor>
    <xdr:from>
      <xdr:col>4</xdr:col>
      <xdr:colOff>366796</xdr:colOff>
      <xdr:row>241</xdr:row>
      <xdr:rowOff>22676</xdr:rowOff>
    </xdr:from>
    <xdr:to>
      <xdr:col>4</xdr:col>
      <xdr:colOff>942796</xdr:colOff>
      <xdr:row>241</xdr:row>
      <xdr:rowOff>598676</xdr:rowOff>
    </xdr:to>
    <xdr:pic>
      <xdr:nvPicPr>
        <xdr:cNvPr id="2158" name="Picture 2157">
          <a:extLst>
            <a:ext uri="{FF2B5EF4-FFF2-40B4-BE49-F238E27FC236}">
              <a16:creationId xmlns:a16="http://schemas.microsoft.com/office/drawing/2014/main" id="{FA838FD1-D54E-439B-8010-23D6F50F141D}"/>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19177224"/>
          <a:ext cx="576000" cy="576000"/>
        </a:xfrm>
        <a:prstGeom prst="rect">
          <a:avLst/>
        </a:prstGeom>
        <a:noFill/>
      </xdr:spPr>
    </xdr:pic>
    <xdr:clientData/>
  </xdr:twoCellAnchor>
  <xdr:twoCellAnchor>
    <xdr:from>
      <xdr:col>4</xdr:col>
      <xdr:colOff>385981</xdr:colOff>
      <xdr:row>245</xdr:row>
      <xdr:rowOff>21543</xdr:rowOff>
    </xdr:from>
    <xdr:to>
      <xdr:col>4</xdr:col>
      <xdr:colOff>961981</xdr:colOff>
      <xdr:row>245</xdr:row>
      <xdr:rowOff>597543</xdr:rowOff>
    </xdr:to>
    <xdr:pic>
      <xdr:nvPicPr>
        <xdr:cNvPr id="2159" name="Picture 2158" descr="hair protection">
          <a:extLst>
            <a:ext uri="{FF2B5EF4-FFF2-40B4-BE49-F238E27FC236}">
              <a16:creationId xmlns:a16="http://schemas.microsoft.com/office/drawing/2014/main" id="{837D47B0-1152-4D7E-B429-CED99CA4A5A6}"/>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21609369"/>
          <a:ext cx="576000" cy="576000"/>
        </a:xfrm>
        <a:prstGeom prst="rect">
          <a:avLst/>
        </a:prstGeom>
        <a:noFill/>
        <a:ln>
          <a:noFill/>
        </a:ln>
      </xdr:spPr>
    </xdr:pic>
    <xdr:clientData/>
  </xdr:twoCellAnchor>
  <xdr:twoCellAnchor>
    <xdr:from>
      <xdr:col>4</xdr:col>
      <xdr:colOff>378200</xdr:colOff>
      <xdr:row>244</xdr:row>
      <xdr:rowOff>15874</xdr:rowOff>
    </xdr:from>
    <xdr:to>
      <xdr:col>4</xdr:col>
      <xdr:colOff>954200</xdr:colOff>
      <xdr:row>244</xdr:row>
      <xdr:rowOff>591874</xdr:rowOff>
    </xdr:to>
    <xdr:pic>
      <xdr:nvPicPr>
        <xdr:cNvPr id="2160" name="Picture 2159">
          <a:extLst>
            <a:ext uri="{FF2B5EF4-FFF2-40B4-BE49-F238E27FC236}">
              <a16:creationId xmlns:a16="http://schemas.microsoft.com/office/drawing/2014/main" id="{5D5FB08F-8D6F-430E-821D-3B761AEA536D}"/>
            </a:ext>
          </a:extLst>
        </xdr:cNvPr>
        <xdr:cNvPicPr>
          <a:picLocks noChangeAspect="1"/>
        </xdr:cNvPicPr>
      </xdr:nvPicPr>
      <xdr:blipFill>
        <a:blip xmlns:r="http://schemas.openxmlformats.org/officeDocument/2006/relationships" r:embed="rId14"/>
        <a:stretch>
          <a:fillRect/>
        </a:stretch>
      </xdr:blipFill>
      <xdr:spPr>
        <a:xfrm>
          <a:off x="3960080" y="120995380"/>
          <a:ext cx="576000" cy="576000"/>
        </a:xfrm>
        <a:prstGeom prst="rect">
          <a:avLst/>
        </a:prstGeom>
      </xdr:spPr>
    </xdr:pic>
    <xdr:clientData/>
  </xdr:twoCellAnchor>
  <xdr:twoCellAnchor>
    <xdr:from>
      <xdr:col>4</xdr:col>
      <xdr:colOff>387002</xdr:colOff>
      <xdr:row>247</xdr:row>
      <xdr:rowOff>18540</xdr:rowOff>
    </xdr:from>
    <xdr:to>
      <xdr:col>4</xdr:col>
      <xdr:colOff>963002</xdr:colOff>
      <xdr:row>247</xdr:row>
      <xdr:rowOff>594540</xdr:rowOff>
    </xdr:to>
    <xdr:pic>
      <xdr:nvPicPr>
        <xdr:cNvPr id="2161" name="Picture 2160">
          <a:extLst>
            <a:ext uri="{FF2B5EF4-FFF2-40B4-BE49-F238E27FC236}">
              <a16:creationId xmlns:a16="http://schemas.microsoft.com/office/drawing/2014/main" id="{710AEC5A-A19D-4B68-B69A-D87CE80442F8}"/>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22823004"/>
          <a:ext cx="576000" cy="576000"/>
        </a:xfrm>
        <a:prstGeom prst="rect">
          <a:avLst/>
        </a:prstGeom>
        <a:noFill/>
      </xdr:spPr>
    </xdr:pic>
    <xdr:clientData/>
  </xdr:twoCellAnchor>
  <xdr:twoCellAnchor>
    <xdr:from>
      <xdr:col>4</xdr:col>
      <xdr:colOff>382711</xdr:colOff>
      <xdr:row>246</xdr:row>
      <xdr:rowOff>23810</xdr:rowOff>
    </xdr:from>
    <xdr:to>
      <xdr:col>4</xdr:col>
      <xdr:colOff>958711</xdr:colOff>
      <xdr:row>246</xdr:row>
      <xdr:rowOff>599810</xdr:rowOff>
    </xdr:to>
    <xdr:pic>
      <xdr:nvPicPr>
        <xdr:cNvPr id="2162" name="Picture 2161" descr="head protection">
          <a:extLst>
            <a:ext uri="{FF2B5EF4-FFF2-40B4-BE49-F238E27FC236}">
              <a16:creationId xmlns:a16="http://schemas.microsoft.com/office/drawing/2014/main" id="{023ACD89-577B-4024-B41A-F867FF2EFBF0}"/>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22219955"/>
          <a:ext cx="576000" cy="576000"/>
        </a:xfrm>
        <a:prstGeom prst="rect">
          <a:avLst/>
        </a:prstGeom>
        <a:noFill/>
        <a:ln>
          <a:noFill/>
        </a:ln>
      </xdr:spPr>
    </xdr:pic>
    <xdr:clientData/>
  </xdr:twoCellAnchor>
  <xdr:twoCellAnchor>
    <xdr:from>
      <xdr:col>4</xdr:col>
      <xdr:colOff>385942</xdr:colOff>
      <xdr:row>249</xdr:row>
      <xdr:rowOff>20407</xdr:rowOff>
    </xdr:from>
    <xdr:to>
      <xdr:col>4</xdr:col>
      <xdr:colOff>961942</xdr:colOff>
      <xdr:row>249</xdr:row>
      <xdr:rowOff>596407</xdr:rowOff>
    </xdr:to>
    <xdr:pic>
      <xdr:nvPicPr>
        <xdr:cNvPr id="2163" name="Picture 2162">
          <a:extLst>
            <a:ext uri="{FF2B5EF4-FFF2-40B4-BE49-F238E27FC236}">
              <a16:creationId xmlns:a16="http://schemas.microsoft.com/office/drawing/2014/main" id="{7352DC62-DF08-4A9B-9158-6AAB37FFB152}"/>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24041510"/>
          <a:ext cx="576000" cy="576000"/>
        </a:xfrm>
        <a:prstGeom prst="rect">
          <a:avLst/>
        </a:prstGeom>
        <a:noFill/>
        <a:ln>
          <a:noFill/>
        </a:ln>
      </xdr:spPr>
    </xdr:pic>
    <xdr:clientData/>
  </xdr:twoCellAnchor>
  <xdr:twoCellAnchor>
    <xdr:from>
      <xdr:col>4</xdr:col>
      <xdr:colOff>388649</xdr:colOff>
      <xdr:row>248</xdr:row>
      <xdr:rowOff>20411</xdr:rowOff>
    </xdr:from>
    <xdr:to>
      <xdr:col>4</xdr:col>
      <xdr:colOff>964649</xdr:colOff>
      <xdr:row>248</xdr:row>
      <xdr:rowOff>595416</xdr:rowOff>
    </xdr:to>
    <xdr:pic>
      <xdr:nvPicPr>
        <xdr:cNvPr id="2164" name="Picture 2163">
          <a:extLst>
            <a:ext uri="{FF2B5EF4-FFF2-40B4-BE49-F238E27FC236}">
              <a16:creationId xmlns:a16="http://schemas.microsoft.com/office/drawing/2014/main" id="{F197D79A-1857-450A-865C-CE10A4051918}"/>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23433195"/>
          <a:ext cx="576000" cy="575005"/>
        </a:xfrm>
        <a:prstGeom prst="rect">
          <a:avLst/>
        </a:prstGeom>
      </xdr:spPr>
    </xdr:pic>
    <xdr:clientData/>
  </xdr:twoCellAnchor>
  <xdr:twoCellAnchor>
    <xdr:from>
      <xdr:col>4</xdr:col>
      <xdr:colOff>380046</xdr:colOff>
      <xdr:row>251</xdr:row>
      <xdr:rowOff>18141</xdr:rowOff>
    </xdr:from>
    <xdr:to>
      <xdr:col>4</xdr:col>
      <xdr:colOff>956046</xdr:colOff>
      <xdr:row>251</xdr:row>
      <xdr:rowOff>594141</xdr:rowOff>
    </xdr:to>
    <xdr:pic>
      <xdr:nvPicPr>
        <xdr:cNvPr id="2165" name="Picture 2164" descr="safety vests">
          <a:extLst>
            <a:ext uri="{FF2B5EF4-FFF2-40B4-BE49-F238E27FC236}">
              <a16:creationId xmlns:a16="http://schemas.microsoft.com/office/drawing/2014/main" id="{8E330188-F6FA-4C6E-BC32-92FA289DA141}"/>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25255883"/>
          <a:ext cx="576000" cy="576000"/>
        </a:xfrm>
        <a:prstGeom prst="rect">
          <a:avLst/>
        </a:prstGeom>
        <a:noFill/>
        <a:ln>
          <a:noFill/>
        </a:ln>
      </xdr:spPr>
    </xdr:pic>
    <xdr:clientData/>
  </xdr:twoCellAnchor>
  <xdr:twoCellAnchor>
    <xdr:from>
      <xdr:col>4</xdr:col>
      <xdr:colOff>380202</xdr:colOff>
      <xdr:row>250</xdr:row>
      <xdr:rowOff>17010</xdr:rowOff>
    </xdr:from>
    <xdr:to>
      <xdr:col>4</xdr:col>
      <xdr:colOff>956202</xdr:colOff>
      <xdr:row>250</xdr:row>
      <xdr:rowOff>593010</xdr:rowOff>
    </xdr:to>
    <xdr:pic>
      <xdr:nvPicPr>
        <xdr:cNvPr id="2166" name="Picture 2165">
          <a:extLst>
            <a:ext uri="{FF2B5EF4-FFF2-40B4-BE49-F238E27FC236}">
              <a16:creationId xmlns:a16="http://schemas.microsoft.com/office/drawing/2014/main" id="{88BADF19-4F33-431F-95D1-6C6455C61439}"/>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24646432"/>
          <a:ext cx="576000" cy="576000"/>
        </a:xfrm>
        <a:prstGeom prst="rect">
          <a:avLst/>
        </a:prstGeom>
      </xdr:spPr>
    </xdr:pic>
    <xdr:clientData/>
  </xdr:twoCellAnchor>
  <xdr:twoCellAnchor>
    <xdr:from>
      <xdr:col>4</xdr:col>
      <xdr:colOff>457020</xdr:colOff>
      <xdr:row>254</xdr:row>
      <xdr:rowOff>30345</xdr:rowOff>
    </xdr:from>
    <xdr:to>
      <xdr:col>4</xdr:col>
      <xdr:colOff>889020</xdr:colOff>
      <xdr:row>254</xdr:row>
      <xdr:rowOff>452820</xdr:rowOff>
    </xdr:to>
    <xdr:pic>
      <xdr:nvPicPr>
        <xdr:cNvPr id="2167" name="Picture 2166">
          <a:extLst>
            <a:ext uri="{FF2B5EF4-FFF2-40B4-BE49-F238E27FC236}">
              <a16:creationId xmlns:a16="http://schemas.microsoft.com/office/drawing/2014/main" id="{00337B27-A402-431D-8556-08FE29825FB4}"/>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27093045"/>
          <a:ext cx="432000" cy="422475"/>
        </a:xfrm>
        <a:prstGeom prst="rect">
          <a:avLst/>
        </a:prstGeom>
        <a:ln>
          <a:solidFill>
            <a:schemeClr val="tx1"/>
          </a:solidFill>
        </a:ln>
      </xdr:spPr>
    </xdr:pic>
    <xdr:clientData/>
  </xdr:twoCellAnchor>
  <xdr:twoCellAnchor>
    <xdr:from>
      <xdr:col>4</xdr:col>
      <xdr:colOff>404994</xdr:colOff>
      <xdr:row>254</xdr:row>
      <xdr:rowOff>30344</xdr:rowOff>
    </xdr:from>
    <xdr:to>
      <xdr:col>4</xdr:col>
      <xdr:colOff>944994</xdr:colOff>
      <xdr:row>254</xdr:row>
      <xdr:rowOff>570344</xdr:rowOff>
    </xdr:to>
    <xdr:pic>
      <xdr:nvPicPr>
        <xdr:cNvPr id="2168" name="Picture 2167">
          <a:extLst>
            <a:ext uri="{FF2B5EF4-FFF2-40B4-BE49-F238E27FC236}">
              <a16:creationId xmlns:a16="http://schemas.microsoft.com/office/drawing/2014/main" id="{08EB5B11-BD4C-4039-B053-36EE9533ED6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27093044"/>
          <a:ext cx="540000" cy="540000"/>
        </a:xfrm>
        <a:prstGeom prst="rect">
          <a:avLst/>
        </a:prstGeom>
        <a:ln>
          <a:solidFill>
            <a:schemeClr val="tx1"/>
          </a:solidFill>
        </a:ln>
      </xdr:spPr>
    </xdr:pic>
    <xdr:clientData/>
  </xdr:twoCellAnchor>
  <xdr:twoCellAnchor>
    <xdr:from>
      <xdr:col>4</xdr:col>
      <xdr:colOff>379338</xdr:colOff>
      <xdr:row>253</xdr:row>
      <xdr:rowOff>17007</xdr:rowOff>
    </xdr:from>
    <xdr:to>
      <xdr:col>4</xdr:col>
      <xdr:colOff>955338</xdr:colOff>
      <xdr:row>253</xdr:row>
      <xdr:rowOff>593007</xdr:rowOff>
    </xdr:to>
    <xdr:pic>
      <xdr:nvPicPr>
        <xdr:cNvPr id="2169" name="Picture 2168">
          <a:extLst>
            <a:ext uri="{FF2B5EF4-FFF2-40B4-BE49-F238E27FC236}">
              <a16:creationId xmlns:a16="http://schemas.microsoft.com/office/drawing/2014/main" id="{A474CEC6-D855-4687-8B4B-F5C943D5EB7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26471387"/>
          <a:ext cx="576000" cy="576000"/>
        </a:xfrm>
        <a:prstGeom prst="rect">
          <a:avLst/>
        </a:prstGeom>
        <a:noFill/>
      </xdr:spPr>
    </xdr:pic>
    <xdr:clientData/>
  </xdr:twoCellAnchor>
  <xdr:twoCellAnchor>
    <xdr:from>
      <xdr:col>4</xdr:col>
      <xdr:colOff>380535</xdr:colOff>
      <xdr:row>252</xdr:row>
      <xdr:rowOff>17008</xdr:rowOff>
    </xdr:from>
    <xdr:to>
      <xdr:col>4</xdr:col>
      <xdr:colOff>956535</xdr:colOff>
      <xdr:row>252</xdr:row>
      <xdr:rowOff>593008</xdr:rowOff>
    </xdr:to>
    <xdr:pic>
      <xdr:nvPicPr>
        <xdr:cNvPr id="2170" name="Picture 2169">
          <a:extLst>
            <a:ext uri="{FF2B5EF4-FFF2-40B4-BE49-F238E27FC236}">
              <a16:creationId xmlns:a16="http://schemas.microsoft.com/office/drawing/2014/main" id="{671FA83D-47FF-483A-86BF-F97234629B2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25863069"/>
          <a:ext cx="576000" cy="576000"/>
        </a:xfrm>
        <a:prstGeom prst="rect">
          <a:avLst/>
        </a:prstGeom>
      </xdr:spPr>
    </xdr:pic>
    <xdr:clientData/>
  </xdr:twoCellAnchor>
  <xdr:twoCellAnchor>
    <xdr:from>
      <xdr:col>4</xdr:col>
      <xdr:colOff>385981</xdr:colOff>
      <xdr:row>255</xdr:row>
      <xdr:rowOff>21543</xdr:rowOff>
    </xdr:from>
    <xdr:to>
      <xdr:col>4</xdr:col>
      <xdr:colOff>961981</xdr:colOff>
      <xdr:row>255</xdr:row>
      <xdr:rowOff>597543</xdr:rowOff>
    </xdr:to>
    <xdr:pic>
      <xdr:nvPicPr>
        <xdr:cNvPr id="2171" name="Picture 2170" descr="hair protection">
          <a:extLst>
            <a:ext uri="{FF2B5EF4-FFF2-40B4-BE49-F238E27FC236}">
              <a16:creationId xmlns:a16="http://schemas.microsoft.com/office/drawing/2014/main" id="{5234B80E-9D03-4E46-841C-4663ABED8B9C}"/>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38642310"/>
          <a:ext cx="576000" cy="576000"/>
        </a:xfrm>
        <a:prstGeom prst="rect">
          <a:avLst/>
        </a:prstGeom>
        <a:noFill/>
        <a:ln>
          <a:noFill/>
        </a:ln>
      </xdr:spPr>
    </xdr:pic>
    <xdr:clientData/>
  </xdr:twoCellAnchor>
  <xdr:twoCellAnchor>
    <xdr:from>
      <xdr:col>4</xdr:col>
      <xdr:colOff>387002</xdr:colOff>
      <xdr:row>257</xdr:row>
      <xdr:rowOff>18540</xdr:rowOff>
    </xdr:from>
    <xdr:to>
      <xdr:col>4</xdr:col>
      <xdr:colOff>963002</xdr:colOff>
      <xdr:row>257</xdr:row>
      <xdr:rowOff>594540</xdr:rowOff>
    </xdr:to>
    <xdr:pic>
      <xdr:nvPicPr>
        <xdr:cNvPr id="2172" name="Picture 2171">
          <a:extLst>
            <a:ext uri="{FF2B5EF4-FFF2-40B4-BE49-F238E27FC236}">
              <a16:creationId xmlns:a16="http://schemas.microsoft.com/office/drawing/2014/main" id="{9B38189C-8E98-448A-B048-9D7DE3028C19}"/>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39855945"/>
          <a:ext cx="576000" cy="576000"/>
        </a:xfrm>
        <a:prstGeom prst="rect">
          <a:avLst/>
        </a:prstGeom>
        <a:noFill/>
      </xdr:spPr>
    </xdr:pic>
    <xdr:clientData/>
  </xdr:twoCellAnchor>
  <xdr:twoCellAnchor>
    <xdr:from>
      <xdr:col>4</xdr:col>
      <xdr:colOff>382711</xdr:colOff>
      <xdr:row>256</xdr:row>
      <xdr:rowOff>23810</xdr:rowOff>
    </xdr:from>
    <xdr:to>
      <xdr:col>4</xdr:col>
      <xdr:colOff>958711</xdr:colOff>
      <xdr:row>256</xdr:row>
      <xdr:rowOff>599810</xdr:rowOff>
    </xdr:to>
    <xdr:pic>
      <xdr:nvPicPr>
        <xdr:cNvPr id="2173" name="Picture 2172" descr="head protection">
          <a:extLst>
            <a:ext uri="{FF2B5EF4-FFF2-40B4-BE49-F238E27FC236}">
              <a16:creationId xmlns:a16="http://schemas.microsoft.com/office/drawing/2014/main" id="{F11346DA-71E6-4821-A9C7-A32C974BA2A0}"/>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39252896"/>
          <a:ext cx="576000" cy="576000"/>
        </a:xfrm>
        <a:prstGeom prst="rect">
          <a:avLst/>
        </a:prstGeom>
        <a:noFill/>
        <a:ln>
          <a:noFill/>
        </a:ln>
      </xdr:spPr>
    </xdr:pic>
    <xdr:clientData/>
  </xdr:twoCellAnchor>
  <xdr:twoCellAnchor>
    <xdr:from>
      <xdr:col>4</xdr:col>
      <xdr:colOff>385942</xdr:colOff>
      <xdr:row>259</xdr:row>
      <xdr:rowOff>20407</xdr:rowOff>
    </xdr:from>
    <xdr:to>
      <xdr:col>4</xdr:col>
      <xdr:colOff>961942</xdr:colOff>
      <xdr:row>259</xdr:row>
      <xdr:rowOff>596407</xdr:rowOff>
    </xdr:to>
    <xdr:pic>
      <xdr:nvPicPr>
        <xdr:cNvPr id="2174" name="Picture 2173">
          <a:extLst>
            <a:ext uri="{FF2B5EF4-FFF2-40B4-BE49-F238E27FC236}">
              <a16:creationId xmlns:a16="http://schemas.microsoft.com/office/drawing/2014/main" id="{DE6C1268-E72B-4908-98E1-D6FA261CE8D3}"/>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41074451"/>
          <a:ext cx="576000" cy="576000"/>
        </a:xfrm>
        <a:prstGeom prst="rect">
          <a:avLst/>
        </a:prstGeom>
        <a:noFill/>
        <a:ln>
          <a:noFill/>
        </a:ln>
      </xdr:spPr>
    </xdr:pic>
    <xdr:clientData/>
  </xdr:twoCellAnchor>
  <xdr:twoCellAnchor>
    <xdr:from>
      <xdr:col>4</xdr:col>
      <xdr:colOff>388649</xdr:colOff>
      <xdr:row>258</xdr:row>
      <xdr:rowOff>20411</xdr:rowOff>
    </xdr:from>
    <xdr:to>
      <xdr:col>4</xdr:col>
      <xdr:colOff>964649</xdr:colOff>
      <xdr:row>258</xdr:row>
      <xdr:rowOff>595416</xdr:rowOff>
    </xdr:to>
    <xdr:pic>
      <xdr:nvPicPr>
        <xdr:cNvPr id="2175" name="Picture 2174">
          <a:extLst>
            <a:ext uri="{FF2B5EF4-FFF2-40B4-BE49-F238E27FC236}">
              <a16:creationId xmlns:a16="http://schemas.microsoft.com/office/drawing/2014/main" id="{77E7D0D6-3F82-43B4-A726-9414FA05482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40466136"/>
          <a:ext cx="576000" cy="575005"/>
        </a:xfrm>
        <a:prstGeom prst="rect">
          <a:avLst/>
        </a:prstGeom>
      </xdr:spPr>
    </xdr:pic>
    <xdr:clientData/>
  </xdr:twoCellAnchor>
  <xdr:twoCellAnchor>
    <xdr:from>
      <xdr:col>4</xdr:col>
      <xdr:colOff>380046</xdr:colOff>
      <xdr:row>261</xdr:row>
      <xdr:rowOff>18141</xdr:rowOff>
    </xdr:from>
    <xdr:to>
      <xdr:col>4</xdr:col>
      <xdr:colOff>956046</xdr:colOff>
      <xdr:row>261</xdr:row>
      <xdr:rowOff>594141</xdr:rowOff>
    </xdr:to>
    <xdr:pic>
      <xdr:nvPicPr>
        <xdr:cNvPr id="2176" name="Picture 2175" descr="safety vests">
          <a:extLst>
            <a:ext uri="{FF2B5EF4-FFF2-40B4-BE49-F238E27FC236}">
              <a16:creationId xmlns:a16="http://schemas.microsoft.com/office/drawing/2014/main" id="{100E5CE7-5B36-4542-A5A5-3E2B6E4725E6}"/>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42288824"/>
          <a:ext cx="576000" cy="576000"/>
        </a:xfrm>
        <a:prstGeom prst="rect">
          <a:avLst/>
        </a:prstGeom>
        <a:noFill/>
        <a:ln>
          <a:noFill/>
        </a:ln>
      </xdr:spPr>
    </xdr:pic>
    <xdr:clientData/>
  </xdr:twoCellAnchor>
  <xdr:twoCellAnchor>
    <xdr:from>
      <xdr:col>4</xdr:col>
      <xdr:colOff>380202</xdr:colOff>
      <xdr:row>260</xdr:row>
      <xdr:rowOff>17010</xdr:rowOff>
    </xdr:from>
    <xdr:to>
      <xdr:col>4</xdr:col>
      <xdr:colOff>956202</xdr:colOff>
      <xdr:row>260</xdr:row>
      <xdr:rowOff>593010</xdr:rowOff>
    </xdr:to>
    <xdr:pic>
      <xdr:nvPicPr>
        <xdr:cNvPr id="2177" name="Picture 2176">
          <a:extLst>
            <a:ext uri="{FF2B5EF4-FFF2-40B4-BE49-F238E27FC236}">
              <a16:creationId xmlns:a16="http://schemas.microsoft.com/office/drawing/2014/main" id="{7795BF96-6485-4B19-AF47-45DA787EBB10}"/>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41679373"/>
          <a:ext cx="576000" cy="576000"/>
        </a:xfrm>
        <a:prstGeom prst="rect">
          <a:avLst/>
        </a:prstGeom>
      </xdr:spPr>
    </xdr:pic>
    <xdr:clientData/>
  </xdr:twoCellAnchor>
  <xdr:twoCellAnchor>
    <xdr:from>
      <xdr:col>4</xdr:col>
      <xdr:colOff>457020</xdr:colOff>
      <xdr:row>264</xdr:row>
      <xdr:rowOff>30345</xdr:rowOff>
    </xdr:from>
    <xdr:to>
      <xdr:col>4</xdr:col>
      <xdr:colOff>889020</xdr:colOff>
      <xdr:row>264</xdr:row>
      <xdr:rowOff>452820</xdr:rowOff>
    </xdr:to>
    <xdr:pic>
      <xdr:nvPicPr>
        <xdr:cNvPr id="2178" name="Picture 2177">
          <a:extLst>
            <a:ext uri="{FF2B5EF4-FFF2-40B4-BE49-F238E27FC236}">
              <a16:creationId xmlns:a16="http://schemas.microsoft.com/office/drawing/2014/main" id="{19665652-D51E-4019-B185-8140CE47238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44125986"/>
          <a:ext cx="432000" cy="422475"/>
        </a:xfrm>
        <a:prstGeom prst="rect">
          <a:avLst/>
        </a:prstGeom>
        <a:ln>
          <a:solidFill>
            <a:schemeClr val="tx1"/>
          </a:solidFill>
        </a:ln>
      </xdr:spPr>
    </xdr:pic>
    <xdr:clientData/>
  </xdr:twoCellAnchor>
  <xdr:twoCellAnchor>
    <xdr:from>
      <xdr:col>4</xdr:col>
      <xdr:colOff>404994</xdr:colOff>
      <xdr:row>264</xdr:row>
      <xdr:rowOff>30344</xdr:rowOff>
    </xdr:from>
    <xdr:to>
      <xdr:col>4</xdr:col>
      <xdr:colOff>944994</xdr:colOff>
      <xdr:row>264</xdr:row>
      <xdr:rowOff>570344</xdr:rowOff>
    </xdr:to>
    <xdr:pic>
      <xdr:nvPicPr>
        <xdr:cNvPr id="2179" name="Picture 2178">
          <a:extLst>
            <a:ext uri="{FF2B5EF4-FFF2-40B4-BE49-F238E27FC236}">
              <a16:creationId xmlns:a16="http://schemas.microsoft.com/office/drawing/2014/main" id="{7CB18F52-4FE8-4C98-8F8D-CBCDC0CF574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44125985"/>
          <a:ext cx="540000" cy="540000"/>
        </a:xfrm>
        <a:prstGeom prst="rect">
          <a:avLst/>
        </a:prstGeom>
        <a:ln>
          <a:solidFill>
            <a:schemeClr val="tx1"/>
          </a:solidFill>
        </a:ln>
      </xdr:spPr>
    </xdr:pic>
    <xdr:clientData/>
  </xdr:twoCellAnchor>
  <xdr:twoCellAnchor>
    <xdr:from>
      <xdr:col>4</xdr:col>
      <xdr:colOff>379338</xdr:colOff>
      <xdr:row>263</xdr:row>
      <xdr:rowOff>17007</xdr:rowOff>
    </xdr:from>
    <xdr:to>
      <xdr:col>4</xdr:col>
      <xdr:colOff>955338</xdr:colOff>
      <xdr:row>263</xdr:row>
      <xdr:rowOff>593007</xdr:rowOff>
    </xdr:to>
    <xdr:pic>
      <xdr:nvPicPr>
        <xdr:cNvPr id="2180" name="Picture 2179">
          <a:extLst>
            <a:ext uri="{FF2B5EF4-FFF2-40B4-BE49-F238E27FC236}">
              <a16:creationId xmlns:a16="http://schemas.microsoft.com/office/drawing/2014/main" id="{D3C9957B-1B74-4E26-9662-598ECBE3926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43504328"/>
          <a:ext cx="576000" cy="576000"/>
        </a:xfrm>
        <a:prstGeom prst="rect">
          <a:avLst/>
        </a:prstGeom>
        <a:noFill/>
      </xdr:spPr>
    </xdr:pic>
    <xdr:clientData/>
  </xdr:twoCellAnchor>
  <xdr:twoCellAnchor>
    <xdr:from>
      <xdr:col>4</xdr:col>
      <xdr:colOff>380535</xdr:colOff>
      <xdr:row>262</xdr:row>
      <xdr:rowOff>17008</xdr:rowOff>
    </xdr:from>
    <xdr:to>
      <xdr:col>4</xdr:col>
      <xdr:colOff>956535</xdr:colOff>
      <xdr:row>262</xdr:row>
      <xdr:rowOff>593008</xdr:rowOff>
    </xdr:to>
    <xdr:pic>
      <xdr:nvPicPr>
        <xdr:cNvPr id="2181" name="Picture 2180">
          <a:extLst>
            <a:ext uri="{FF2B5EF4-FFF2-40B4-BE49-F238E27FC236}">
              <a16:creationId xmlns:a16="http://schemas.microsoft.com/office/drawing/2014/main" id="{979CCE04-BB50-4C0C-841F-95FD78CEC2D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42896010"/>
          <a:ext cx="576000" cy="576000"/>
        </a:xfrm>
        <a:prstGeom prst="rect">
          <a:avLst/>
        </a:prstGeom>
      </xdr:spPr>
    </xdr:pic>
    <xdr:clientData/>
  </xdr:twoCellAnchor>
  <xdr:twoCellAnchor>
    <xdr:from>
      <xdr:col>4</xdr:col>
      <xdr:colOff>385981</xdr:colOff>
      <xdr:row>265</xdr:row>
      <xdr:rowOff>21543</xdr:rowOff>
    </xdr:from>
    <xdr:to>
      <xdr:col>4</xdr:col>
      <xdr:colOff>961981</xdr:colOff>
      <xdr:row>265</xdr:row>
      <xdr:rowOff>597543</xdr:rowOff>
    </xdr:to>
    <xdr:pic>
      <xdr:nvPicPr>
        <xdr:cNvPr id="2182" name="Picture 2181" descr="hair protection">
          <a:extLst>
            <a:ext uri="{FF2B5EF4-FFF2-40B4-BE49-F238E27FC236}">
              <a16:creationId xmlns:a16="http://schemas.microsoft.com/office/drawing/2014/main" id="{C25B6BBB-945A-49A4-A60A-FD5036269FB8}"/>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38642310"/>
          <a:ext cx="576000" cy="576000"/>
        </a:xfrm>
        <a:prstGeom prst="rect">
          <a:avLst/>
        </a:prstGeom>
        <a:noFill/>
        <a:ln>
          <a:noFill/>
        </a:ln>
      </xdr:spPr>
    </xdr:pic>
    <xdr:clientData/>
  </xdr:twoCellAnchor>
  <xdr:twoCellAnchor>
    <xdr:from>
      <xdr:col>4</xdr:col>
      <xdr:colOff>387002</xdr:colOff>
      <xdr:row>267</xdr:row>
      <xdr:rowOff>18540</xdr:rowOff>
    </xdr:from>
    <xdr:to>
      <xdr:col>4</xdr:col>
      <xdr:colOff>963002</xdr:colOff>
      <xdr:row>267</xdr:row>
      <xdr:rowOff>594540</xdr:rowOff>
    </xdr:to>
    <xdr:pic>
      <xdr:nvPicPr>
        <xdr:cNvPr id="2183" name="Picture 2182">
          <a:extLst>
            <a:ext uri="{FF2B5EF4-FFF2-40B4-BE49-F238E27FC236}">
              <a16:creationId xmlns:a16="http://schemas.microsoft.com/office/drawing/2014/main" id="{559854F2-10B3-4E98-8E97-4E7E95D2F61B}"/>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39855945"/>
          <a:ext cx="576000" cy="576000"/>
        </a:xfrm>
        <a:prstGeom prst="rect">
          <a:avLst/>
        </a:prstGeom>
        <a:noFill/>
      </xdr:spPr>
    </xdr:pic>
    <xdr:clientData/>
  </xdr:twoCellAnchor>
  <xdr:twoCellAnchor>
    <xdr:from>
      <xdr:col>4</xdr:col>
      <xdr:colOff>382711</xdr:colOff>
      <xdr:row>266</xdr:row>
      <xdr:rowOff>23810</xdr:rowOff>
    </xdr:from>
    <xdr:to>
      <xdr:col>4</xdr:col>
      <xdr:colOff>958711</xdr:colOff>
      <xdr:row>266</xdr:row>
      <xdr:rowOff>599810</xdr:rowOff>
    </xdr:to>
    <xdr:pic>
      <xdr:nvPicPr>
        <xdr:cNvPr id="2184" name="Picture 2183" descr="head protection">
          <a:extLst>
            <a:ext uri="{FF2B5EF4-FFF2-40B4-BE49-F238E27FC236}">
              <a16:creationId xmlns:a16="http://schemas.microsoft.com/office/drawing/2014/main" id="{E47D51DC-7CC6-4C43-B05F-3053DF610602}"/>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39252896"/>
          <a:ext cx="576000" cy="576000"/>
        </a:xfrm>
        <a:prstGeom prst="rect">
          <a:avLst/>
        </a:prstGeom>
        <a:noFill/>
        <a:ln>
          <a:noFill/>
        </a:ln>
      </xdr:spPr>
    </xdr:pic>
    <xdr:clientData/>
  </xdr:twoCellAnchor>
  <xdr:twoCellAnchor>
    <xdr:from>
      <xdr:col>4</xdr:col>
      <xdr:colOff>385942</xdr:colOff>
      <xdr:row>269</xdr:row>
      <xdr:rowOff>20407</xdr:rowOff>
    </xdr:from>
    <xdr:to>
      <xdr:col>4</xdr:col>
      <xdr:colOff>961942</xdr:colOff>
      <xdr:row>269</xdr:row>
      <xdr:rowOff>596407</xdr:rowOff>
    </xdr:to>
    <xdr:pic>
      <xdr:nvPicPr>
        <xdr:cNvPr id="2185" name="Picture 2184">
          <a:extLst>
            <a:ext uri="{FF2B5EF4-FFF2-40B4-BE49-F238E27FC236}">
              <a16:creationId xmlns:a16="http://schemas.microsoft.com/office/drawing/2014/main" id="{F0E28885-BD21-4051-9FB7-6C8BD5326A68}"/>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41074451"/>
          <a:ext cx="576000" cy="576000"/>
        </a:xfrm>
        <a:prstGeom prst="rect">
          <a:avLst/>
        </a:prstGeom>
        <a:noFill/>
        <a:ln>
          <a:noFill/>
        </a:ln>
      </xdr:spPr>
    </xdr:pic>
    <xdr:clientData/>
  </xdr:twoCellAnchor>
  <xdr:twoCellAnchor>
    <xdr:from>
      <xdr:col>4</xdr:col>
      <xdr:colOff>388649</xdr:colOff>
      <xdr:row>268</xdr:row>
      <xdr:rowOff>20411</xdr:rowOff>
    </xdr:from>
    <xdr:to>
      <xdr:col>4</xdr:col>
      <xdr:colOff>964649</xdr:colOff>
      <xdr:row>268</xdr:row>
      <xdr:rowOff>595416</xdr:rowOff>
    </xdr:to>
    <xdr:pic>
      <xdr:nvPicPr>
        <xdr:cNvPr id="2186" name="Picture 2185">
          <a:extLst>
            <a:ext uri="{FF2B5EF4-FFF2-40B4-BE49-F238E27FC236}">
              <a16:creationId xmlns:a16="http://schemas.microsoft.com/office/drawing/2014/main" id="{68BB0773-E211-466B-86BF-7AB28797012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40466136"/>
          <a:ext cx="576000" cy="575005"/>
        </a:xfrm>
        <a:prstGeom prst="rect">
          <a:avLst/>
        </a:prstGeom>
      </xdr:spPr>
    </xdr:pic>
    <xdr:clientData/>
  </xdr:twoCellAnchor>
  <xdr:twoCellAnchor>
    <xdr:from>
      <xdr:col>4</xdr:col>
      <xdr:colOff>380046</xdr:colOff>
      <xdr:row>271</xdr:row>
      <xdr:rowOff>18141</xdr:rowOff>
    </xdr:from>
    <xdr:to>
      <xdr:col>4</xdr:col>
      <xdr:colOff>956046</xdr:colOff>
      <xdr:row>271</xdr:row>
      <xdr:rowOff>594141</xdr:rowOff>
    </xdr:to>
    <xdr:pic>
      <xdr:nvPicPr>
        <xdr:cNvPr id="2187" name="Picture 2186" descr="safety vests">
          <a:extLst>
            <a:ext uri="{FF2B5EF4-FFF2-40B4-BE49-F238E27FC236}">
              <a16:creationId xmlns:a16="http://schemas.microsoft.com/office/drawing/2014/main" id="{0F0636CD-B6B8-40E5-B3E2-F8A7F8D11A74}"/>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42288824"/>
          <a:ext cx="576000" cy="576000"/>
        </a:xfrm>
        <a:prstGeom prst="rect">
          <a:avLst/>
        </a:prstGeom>
        <a:noFill/>
        <a:ln>
          <a:noFill/>
        </a:ln>
      </xdr:spPr>
    </xdr:pic>
    <xdr:clientData/>
  </xdr:twoCellAnchor>
  <xdr:twoCellAnchor>
    <xdr:from>
      <xdr:col>4</xdr:col>
      <xdr:colOff>380202</xdr:colOff>
      <xdr:row>270</xdr:row>
      <xdr:rowOff>17010</xdr:rowOff>
    </xdr:from>
    <xdr:to>
      <xdr:col>4</xdr:col>
      <xdr:colOff>956202</xdr:colOff>
      <xdr:row>270</xdr:row>
      <xdr:rowOff>593010</xdr:rowOff>
    </xdr:to>
    <xdr:pic>
      <xdr:nvPicPr>
        <xdr:cNvPr id="2188" name="Picture 2187">
          <a:extLst>
            <a:ext uri="{FF2B5EF4-FFF2-40B4-BE49-F238E27FC236}">
              <a16:creationId xmlns:a16="http://schemas.microsoft.com/office/drawing/2014/main" id="{BE807CA8-6D52-4298-9223-1AFB5088BBA7}"/>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41679373"/>
          <a:ext cx="576000" cy="576000"/>
        </a:xfrm>
        <a:prstGeom prst="rect">
          <a:avLst/>
        </a:prstGeom>
      </xdr:spPr>
    </xdr:pic>
    <xdr:clientData/>
  </xdr:twoCellAnchor>
  <xdr:twoCellAnchor>
    <xdr:from>
      <xdr:col>4</xdr:col>
      <xdr:colOff>457020</xdr:colOff>
      <xdr:row>274</xdr:row>
      <xdr:rowOff>30345</xdr:rowOff>
    </xdr:from>
    <xdr:to>
      <xdr:col>4</xdr:col>
      <xdr:colOff>889020</xdr:colOff>
      <xdr:row>274</xdr:row>
      <xdr:rowOff>452820</xdr:rowOff>
    </xdr:to>
    <xdr:pic>
      <xdr:nvPicPr>
        <xdr:cNvPr id="2189" name="Picture 2188">
          <a:extLst>
            <a:ext uri="{FF2B5EF4-FFF2-40B4-BE49-F238E27FC236}">
              <a16:creationId xmlns:a16="http://schemas.microsoft.com/office/drawing/2014/main" id="{5CDCB1A8-1396-487D-87F6-B9412DFE121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44125986"/>
          <a:ext cx="432000" cy="422475"/>
        </a:xfrm>
        <a:prstGeom prst="rect">
          <a:avLst/>
        </a:prstGeom>
        <a:ln>
          <a:solidFill>
            <a:schemeClr val="tx1"/>
          </a:solidFill>
        </a:ln>
      </xdr:spPr>
    </xdr:pic>
    <xdr:clientData/>
  </xdr:twoCellAnchor>
  <xdr:twoCellAnchor>
    <xdr:from>
      <xdr:col>4</xdr:col>
      <xdr:colOff>404994</xdr:colOff>
      <xdr:row>274</xdr:row>
      <xdr:rowOff>30344</xdr:rowOff>
    </xdr:from>
    <xdr:to>
      <xdr:col>4</xdr:col>
      <xdr:colOff>944994</xdr:colOff>
      <xdr:row>274</xdr:row>
      <xdr:rowOff>570344</xdr:rowOff>
    </xdr:to>
    <xdr:pic>
      <xdr:nvPicPr>
        <xdr:cNvPr id="2190" name="Picture 2189">
          <a:extLst>
            <a:ext uri="{FF2B5EF4-FFF2-40B4-BE49-F238E27FC236}">
              <a16:creationId xmlns:a16="http://schemas.microsoft.com/office/drawing/2014/main" id="{6B7F15F9-9B3C-4C5B-B396-0FD02D255EB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44125985"/>
          <a:ext cx="540000" cy="540000"/>
        </a:xfrm>
        <a:prstGeom prst="rect">
          <a:avLst/>
        </a:prstGeom>
        <a:ln>
          <a:solidFill>
            <a:schemeClr val="tx1"/>
          </a:solidFill>
        </a:ln>
      </xdr:spPr>
    </xdr:pic>
    <xdr:clientData/>
  </xdr:twoCellAnchor>
  <xdr:twoCellAnchor>
    <xdr:from>
      <xdr:col>4</xdr:col>
      <xdr:colOff>379338</xdr:colOff>
      <xdr:row>273</xdr:row>
      <xdr:rowOff>17007</xdr:rowOff>
    </xdr:from>
    <xdr:to>
      <xdr:col>4</xdr:col>
      <xdr:colOff>955338</xdr:colOff>
      <xdr:row>273</xdr:row>
      <xdr:rowOff>593007</xdr:rowOff>
    </xdr:to>
    <xdr:pic>
      <xdr:nvPicPr>
        <xdr:cNvPr id="2191" name="Picture 2190">
          <a:extLst>
            <a:ext uri="{FF2B5EF4-FFF2-40B4-BE49-F238E27FC236}">
              <a16:creationId xmlns:a16="http://schemas.microsoft.com/office/drawing/2014/main" id="{BF5EBFA1-7747-4A66-83BB-60E1CD2C810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43504328"/>
          <a:ext cx="576000" cy="576000"/>
        </a:xfrm>
        <a:prstGeom prst="rect">
          <a:avLst/>
        </a:prstGeom>
        <a:noFill/>
      </xdr:spPr>
    </xdr:pic>
    <xdr:clientData/>
  </xdr:twoCellAnchor>
  <xdr:twoCellAnchor>
    <xdr:from>
      <xdr:col>4</xdr:col>
      <xdr:colOff>380535</xdr:colOff>
      <xdr:row>272</xdr:row>
      <xdr:rowOff>17008</xdr:rowOff>
    </xdr:from>
    <xdr:to>
      <xdr:col>4</xdr:col>
      <xdr:colOff>956535</xdr:colOff>
      <xdr:row>272</xdr:row>
      <xdr:rowOff>593008</xdr:rowOff>
    </xdr:to>
    <xdr:pic>
      <xdr:nvPicPr>
        <xdr:cNvPr id="2192" name="Picture 2191">
          <a:extLst>
            <a:ext uri="{FF2B5EF4-FFF2-40B4-BE49-F238E27FC236}">
              <a16:creationId xmlns:a16="http://schemas.microsoft.com/office/drawing/2014/main" id="{AF52847E-AB84-45AF-8E91-094B64F419D9}"/>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42896010"/>
          <a:ext cx="576000" cy="576000"/>
        </a:xfrm>
        <a:prstGeom prst="rect">
          <a:avLst/>
        </a:prstGeom>
      </xdr:spPr>
    </xdr:pic>
    <xdr:clientData/>
  </xdr:twoCellAnchor>
  <xdr:twoCellAnchor>
    <xdr:from>
      <xdr:col>4</xdr:col>
      <xdr:colOff>385981</xdr:colOff>
      <xdr:row>275</xdr:row>
      <xdr:rowOff>21543</xdr:rowOff>
    </xdr:from>
    <xdr:to>
      <xdr:col>4</xdr:col>
      <xdr:colOff>961981</xdr:colOff>
      <xdr:row>275</xdr:row>
      <xdr:rowOff>597543</xdr:rowOff>
    </xdr:to>
    <xdr:pic>
      <xdr:nvPicPr>
        <xdr:cNvPr id="2193" name="Picture 2192" descr="hair protection">
          <a:extLst>
            <a:ext uri="{FF2B5EF4-FFF2-40B4-BE49-F238E27FC236}">
              <a16:creationId xmlns:a16="http://schemas.microsoft.com/office/drawing/2014/main" id="{CCB76912-9698-4119-89C9-645B347A33CE}"/>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38642310"/>
          <a:ext cx="576000" cy="576000"/>
        </a:xfrm>
        <a:prstGeom prst="rect">
          <a:avLst/>
        </a:prstGeom>
        <a:noFill/>
        <a:ln>
          <a:noFill/>
        </a:ln>
      </xdr:spPr>
    </xdr:pic>
    <xdr:clientData/>
  </xdr:twoCellAnchor>
  <xdr:twoCellAnchor>
    <xdr:from>
      <xdr:col>4</xdr:col>
      <xdr:colOff>387002</xdr:colOff>
      <xdr:row>277</xdr:row>
      <xdr:rowOff>18540</xdr:rowOff>
    </xdr:from>
    <xdr:to>
      <xdr:col>4</xdr:col>
      <xdr:colOff>963002</xdr:colOff>
      <xdr:row>277</xdr:row>
      <xdr:rowOff>594540</xdr:rowOff>
    </xdr:to>
    <xdr:pic>
      <xdr:nvPicPr>
        <xdr:cNvPr id="2194" name="Picture 2193">
          <a:extLst>
            <a:ext uri="{FF2B5EF4-FFF2-40B4-BE49-F238E27FC236}">
              <a16:creationId xmlns:a16="http://schemas.microsoft.com/office/drawing/2014/main" id="{D3A25DB6-2DF4-4622-8A41-E979CDF069F6}"/>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39855945"/>
          <a:ext cx="576000" cy="576000"/>
        </a:xfrm>
        <a:prstGeom prst="rect">
          <a:avLst/>
        </a:prstGeom>
        <a:noFill/>
      </xdr:spPr>
    </xdr:pic>
    <xdr:clientData/>
  </xdr:twoCellAnchor>
  <xdr:twoCellAnchor>
    <xdr:from>
      <xdr:col>4</xdr:col>
      <xdr:colOff>382711</xdr:colOff>
      <xdr:row>276</xdr:row>
      <xdr:rowOff>23810</xdr:rowOff>
    </xdr:from>
    <xdr:to>
      <xdr:col>4</xdr:col>
      <xdr:colOff>958711</xdr:colOff>
      <xdr:row>276</xdr:row>
      <xdr:rowOff>599810</xdr:rowOff>
    </xdr:to>
    <xdr:pic>
      <xdr:nvPicPr>
        <xdr:cNvPr id="2195" name="Picture 2194" descr="head protection">
          <a:extLst>
            <a:ext uri="{FF2B5EF4-FFF2-40B4-BE49-F238E27FC236}">
              <a16:creationId xmlns:a16="http://schemas.microsoft.com/office/drawing/2014/main" id="{90A2C882-DD3D-457B-9C1C-D969D3099FB8}"/>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39252896"/>
          <a:ext cx="576000" cy="576000"/>
        </a:xfrm>
        <a:prstGeom prst="rect">
          <a:avLst/>
        </a:prstGeom>
        <a:noFill/>
        <a:ln>
          <a:noFill/>
        </a:ln>
      </xdr:spPr>
    </xdr:pic>
    <xdr:clientData/>
  </xdr:twoCellAnchor>
  <xdr:twoCellAnchor>
    <xdr:from>
      <xdr:col>4</xdr:col>
      <xdr:colOff>385942</xdr:colOff>
      <xdr:row>279</xdr:row>
      <xdr:rowOff>20407</xdr:rowOff>
    </xdr:from>
    <xdr:to>
      <xdr:col>4</xdr:col>
      <xdr:colOff>961942</xdr:colOff>
      <xdr:row>279</xdr:row>
      <xdr:rowOff>596407</xdr:rowOff>
    </xdr:to>
    <xdr:pic>
      <xdr:nvPicPr>
        <xdr:cNvPr id="2196" name="Picture 2195">
          <a:extLst>
            <a:ext uri="{FF2B5EF4-FFF2-40B4-BE49-F238E27FC236}">
              <a16:creationId xmlns:a16="http://schemas.microsoft.com/office/drawing/2014/main" id="{AA9C92F9-F70A-461E-8705-7BB9F3A5F862}"/>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41074451"/>
          <a:ext cx="576000" cy="576000"/>
        </a:xfrm>
        <a:prstGeom prst="rect">
          <a:avLst/>
        </a:prstGeom>
        <a:noFill/>
        <a:ln>
          <a:noFill/>
        </a:ln>
      </xdr:spPr>
    </xdr:pic>
    <xdr:clientData/>
  </xdr:twoCellAnchor>
  <xdr:twoCellAnchor>
    <xdr:from>
      <xdr:col>4</xdr:col>
      <xdr:colOff>388649</xdr:colOff>
      <xdr:row>278</xdr:row>
      <xdr:rowOff>20411</xdr:rowOff>
    </xdr:from>
    <xdr:to>
      <xdr:col>4</xdr:col>
      <xdr:colOff>964649</xdr:colOff>
      <xdr:row>278</xdr:row>
      <xdr:rowOff>595416</xdr:rowOff>
    </xdr:to>
    <xdr:pic>
      <xdr:nvPicPr>
        <xdr:cNvPr id="2197" name="Picture 2196">
          <a:extLst>
            <a:ext uri="{FF2B5EF4-FFF2-40B4-BE49-F238E27FC236}">
              <a16:creationId xmlns:a16="http://schemas.microsoft.com/office/drawing/2014/main" id="{5F06E792-F5CD-4434-A4CD-3D9640C4F3F6}"/>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40466136"/>
          <a:ext cx="576000" cy="575005"/>
        </a:xfrm>
        <a:prstGeom prst="rect">
          <a:avLst/>
        </a:prstGeom>
      </xdr:spPr>
    </xdr:pic>
    <xdr:clientData/>
  </xdr:twoCellAnchor>
  <xdr:twoCellAnchor>
    <xdr:from>
      <xdr:col>4</xdr:col>
      <xdr:colOff>380046</xdr:colOff>
      <xdr:row>281</xdr:row>
      <xdr:rowOff>18141</xdr:rowOff>
    </xdr:from>
    <xdr:to>
      <xdr:col>4</xdr:col>
      <xdr:colOff>956046</xdr:colOff>
      <xdr:row>281</xdr:row>
      <xdr:rowOff>594141</xdr:rowOff>
    </xdr:to>
    <xdr:pic>
      <xdr:nvPicPr>
        <xdr:cNvPr id="2198" name="Picture 2197" descr="safety vests">
          <a:extLst>
            <a:ext uri="{FF2B5EF4-FFF2-40B4-BE49-F238E27FC236}">
              <a16:creationId xmlns:a16="http://schemas.microsoft.com/office/drawing/2014/main" id="{B21127A8-2E2D-4E20-8C43-AE81EB926A8D}"/>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42288824"/>
          <a:ext cx="576000" cy="576000"/>
        </a:xfrm>
        <a:prstGeom prst="rect">
          <a:avLst/>
        </a:prstGeom>
        <a:noFill/>
        <a:ln>
          <a:noFill/>
        </a:ln>
      </xdr:spPr>
    </xdr:pic>
    <xdr:clientData/>
  </xdr:twoCellAnchor>
  <xdr:twoCellAnchor>
    <xdr:from>
      <xdr:col>4</xdr:col>
      <xdr:colOff>380202</xdr:colOff>
      <xdr:row>280</xdr:row>
      <xdr:rowOff>17010</xdr:rowOff>
    </xdr:from>
    <xdr:to>
      <xdr:col>4</xdr:col>
      <xdr:colOff>956202</xdr:colOff>
      <xdr:row>280</xdr:row>
      <xdr:rowOff>593010</xdr:rowOff>
    </xdr:to>
    <xdr:pic>
      <xdr:nvPicPr>
        <xdr:cNvPr id="2199" name="Picture 2198">
          <a:extLst>
            <a:ext uri="{FF2B5EF4-FFF2-40B4-BE49-F238E27FC236}">
              <a16:creationId xmlns:a16="http://schemas.microsoft.com/office/drawing/2014/main" id="{68D75D45-1E14-4602-9CBB-43971C4D01BC}"/>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41679373"/>
          <a:ext cx="576000" cy="576000"/>
        </a:xfrm>
        <a:prstGeom prst="rect">
          <a:avLst/>
        </a:prstGeom>
      </xdr:spPr>
    </xdr:pic>
    <xdr:clientData/>
  </xdr:twoCellAnchor>
  <xdr:twoCellAnchor>
    <xdr:from>
      <xdr:col>4</xdr:col>
      <xdr:colOff>457020</xdr:colOff>
      <xdr:row>284</xdr:row>
      <xdr:rowOff>30345</xdr:rowOff>
    </xdr:from>
    <xdr:to>
      <xdr:col>4</xdr:col>
      <xdr:colOff>889020</xdr:colOff>
      <xdr:row>284</xdr:row>
      <xdr:rowOff>452820</xdr:rowOff>
    </xdr:to>
    <xdr:pic>
      <xdr:nvPicPr>
        <xdr:cNvPr id="2200" name="Picture 2199">
          <a:extLst>
            <a:ext uri="{FF2B5EF4-FFF2-40B4-BE49-F238E27FC236}">
              <a16:creationId xmlns:a16="http://schemas.microsoft.com/office/drawing/2014/main" id="{EA4ACD85-5032-4AB6-9528-31CE939F09BC}"/>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44125986"/>
          <a:ext cx="432000" cy="422475"/>
        </a:xfrm>
        <a:prstGeom prst="rect">
          <a:avLst/>
        </a:prstGeom>
        <a:ln>
          <a:solidFill>
            <a:schemeClr val="tx1"/>
          </a:solidFill>
        </a:ln>
      </xdr:spPr>
    </xdr:pic>
    <xdr:clientData/>
  </xdr:twoCellAnchor>
  <xdr:twoCellAnchor>
    <xdr:from>
      <xdr:col>4</xdr:col>
      <xdr:colOff>404994</xdr:colOff>
      <xdr:row>284</xdr:row>
      <xdr:rowOff>30344</xdr:rowOff>
    </xdr:from>
    <xdr:to>
      <xdr:col>4</xdr:col>
      <xdr:colOff>944994</xdr:colOff>
      <xdr:row>284</xdr:row>
      <xdr:rowOff>570344</xdr:rowOff>
    </xdr:to>
    <xdr:pic>
      <xdr:nvPicPr>
        <xdr:cNvPr id="2201" name="Picture 2200">
          <a:extLst>
            <a:ext uri="{FF2B5EF4-FFF2-40B4-BE49-F238E27FC236}">
              <a16:creationId xmlns:a16="http://schemas.microsoft.com/office/drawing/2014/main" id="{828CF2CF-836C-457A-AF83-FD8A317F9B2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44125985"/>
          <a:ext cx="540000" cy="540000"/>
        </a:xfrm>
        <a:prstGeom prst="rect">
          <a:avLst/>
        </a:prstGeom>
        <a:ln>
          <a:solidFill>
            <a:schemeClr val="tx1"/>
          </a:solidFill>
        </a:ln>
      </xdr:spPr>
    </xdr:pic>
    <xdr:clientData/>
  </xdr:twoCellAnchor>
  <xdr:twoCellAnchor>
    <xdr:from>
      <xdr:col>4</xdr:col>
      <xdr:colOff>379338</xdr:colOff>
      <xdr:row>283</xdr:row>
      <xdr:rowOff>17007</xdr:rowOff>
    </xdr:from>
    <xdr:to>
      <xdr:col>4</xdr:col>
      <xdr:colOff>955338</xdr:colOff>
      <xdr:row>283</xdr:row>
      <xdr:rowOff>593007</xdr:rowOff>
    </xdr:to>
    <xdr:pic>
      <xdr:nvPicPr>
        <xdr:cNvPr id="2202" name="Picture 2201">
          <a:extLst>
            <a:ext uri="{FF2B5EF4-FFF2-40B4-BE49-F238E27FC236}">
              <a16:creationId xmlns:a16="http://schemas.microsoft.com/office/drawing/2014/main" id="{284C0E2A-C1E8-4667-BDFA-AB3E3C8D84D7}"/>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43504328"/>
          <a:ext cx="576000" cy="576000"/>
        </a:xfrm>
        <a:prstGeom prst="rect">
          <a:avLst/>
        </a:prstGeom>
        <a:noFill/>
      </xdr:spPr>
    </xdr:pic>
    <xdr:clientData/>
  </xdr:twoCellAnchor>
  <xdr:twoCellAnchor>
    <xdr:from>
      <xdr:col>4</xdr:col>
      <xdr:colOff>380535</xdr:colOff>
      <xdr:row>282</xdr:row>
      <xdr:rowOff>17008</xdr:rowOff>
    </xdr:from>
    <xdr:to>
      <xdr:col>4</xdr:col>
      <xdr:colOff>956535</xdr:colOff>
      <xdr:row>282</xdr:row>
      <xdr:rowOff>593008</xdr:rowOff>
    </xdr:to>
    <xdr:pic>
      <xdr:nvPicPr>
        <xdr:cNvPr id="2203" name="Picture 2202">
          <a:extLst>
            <a:ext uri="{FF2B5EF4-FFF2-40B4-BE49-F238E27FC236}">
              <a16:creationId xmlns:a16="http://schemas.microsoft.com/office/drawing/2014/main" id="{A57EA9CB-3251-451D-8F22-486456CE5E11}"/>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42896010"/>
          <a:ext cx="576000" cy="576000"/>
        </a:xfrm>
        <a:prstGeom prst="rect">
          <a:avLst/>
        </a:prstGeom>
      </xdr:spPr>
    </xdr:pic>
    <xdr:clientData/>
  </xdr:twoCellAnchor>
  <xdr:twoCellAnchor>
    <xdr:from>
      <xdr:col>4</xdr:col>
      <xdr:colOff>385981</xdr:colOff>
      <xdr:row>285</xdr:row>
      <xdr:rowOff>21543</xdr:rowOff>
    </xdr:from>
    <xdr:to>
      <xdr:col>4</xdr:col>
      <xdr:colOff>961981</xdr:colOff>
      <xdr:row>285</xdr:row>
      <xdr:rowOff>597543</xdr:rowOff>
    </xdr:to>
    <xdr:pic>
      <xdr:nvPicPr>
        <xdr:cNvPr id="2204" name="Picture 2203" descr="hair protection">
          <a:extLst>
            <a:ext uri="{FF2B5EF4-FFF2-40B4-BE49-F238E27FC236}">
              <a16:creationId xmlns:a16="http://schemas.microsoft.com/office/drawing/2014/main" id="{9352E3E2-69A7-47CC-9F03-955586A57E95}"/>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38642310"/>
          <a:ext cx="576000" cy="576000"/>
        </a:xfrm>
        <a:prstGeom prst="rect">
          <a:avLst/>
        </a:prstGeom>
        <a:noFill/>
        <a:ln>
          <a:noFill/>
        </a:ln>
      </xdr:spPr>
    </xdr:pic>
    <xdr:clientData/>
  </xdr:twoCellAnchor>
  <xdr:twoCellAnchor>
    <xdr:from>
      <xdr:col>4</xdr:col>
      <xdr:colOff>387002</xdr:colOff>
      <xdr:row>287</xdr:row>
      <xdr:rowOff>18540</xdr:rowOff>
    </xdr:from>
    <xdr:to>
      <xdr:col>4</xdr:col>
      <xdr:colOff>963002</xdr:colOff>
      <xdr:row>287</xdr:row>
      <xdr:rowOff>594540</xdr:rowOff>
    </xdr:to>
    <xdr:pic>
      <xdr:nvPicPr>
        <xdr:cNvPr id="2205" name="Picture 2204">
          <a:extLst>
            <a:ext uri="{FF2B5EF4-FFF2-40B4-BE49-F238E27FC236}">
              <a16:creationId xmlns:a16="http://schemas.microsoft.com/office/drawing/2014/main" id="{0027B14A-79EE-4492-9629-9F0836DEB5F0}"/>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39855945"/>
          <a:ext cx="576000" cy="576000"/>
        </a:xfrm>
        <a:prstGeom prst="rect">
          <a:avLst/>
        </a:prstGeom>
        <a:noFill/>
      </xdr:spPr>
    </xdr:pic>
    <xdr:clientData/>
  </xdr:twoCellAnchor>
  <xdr:twoCellAnchor>
    <xdr:from>
      <xdr:col>4</xdr:col>
      <xdr:colOff>382711</xdr:colOff>
      <xdr:row>286</xdr:row>
      <xdr:rowOff>23810</xdr:rowOff>
    </xdr:from>
    <xdr:to>
      <xdr:col>4</xdr:col>
      <xdr:colOff>958711</xdr:colOff>
      <xdr:row>286</xdr:row>
      <xdr:rowOff>599810</xdr:rowOff>
    </xdr:to>
    <xdr:pic>
      <xdr:nvPicPr>
        <xdr:cNvPr id="2206" name="Picture 2205" descr="head protection">
          <a:extLst>
            <a:ext uri="{FF2B5EF4-FFF2-40B4-BE49-F238E27FC236}">
              <a16:creationId xmlns:a16="http://schemas.microsoft.com/office/drawing/2014/main" id="{4A22D194-0B40-4ECD-8F4C-7D9CC6BD3700}"/>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39252896"/>
          <a:ext cx="576000" cy="576000"/>
        </a:xfrm>
        <a:prstGeom prst="rect">
          <a:avLst/>
        </a:prstGeom>
        <a:noFill/>
        <a:ln>
          <a:noFill/>
        </a:ln>
      </xdr:spPr>
    </xdr:pic>
    <xdr:clientData/>
  </xdr:twoCellAnchor>
  <xdr:twoCellAnchor>
    <xdr:from>
      <xdr:col>4</xdr:col>
      <xdr:colOff>385942</xdr:colOff>
      <xdr:row>289</xdr:row>
      <xdr:rowOff>20407</xdr:rowOff>
    </xdr:from>
    <xdr:to>
      <xdr:col>4</xdr:col>
      <xdr:colOff>961942</xdr:colOff>
      <xdr:row>289</xdr:row>
      <xdr:rowOff>596407</xdr:rowOff>
    </xdr:to>
    <xdr:pic>
      <xdr:nvPicPr>
        <xdr:cNvPr id="2207" name="Picture 2206">
          <a:extLst>
            <a:ext uri="{FF2B5EF4-FFF2-40B4-BE49-F238E27FC236}">
              <a16:creationId xmlns:a16="http://schemas.microsoft.com/office/drawing/2014/main" id="{30362B30-5EFD-4E16-8090-0BF14BED0C2D}"/>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41074451"/>
          <a:ext cx="576000" cy="576000"/>
        </a:xfrm>
        <a:prstGeom prst="rect">
          <a:avLst/>
        </a:prstGeom>
        <a:noFill/>
        <a:ln>
          <a:noFill/>
        </a:ln>
      </xdr:spPr>
    </xdr:pic>
    <xdr:clientData/>
  </xdr:twoCellAnchor>
  <xdr:twoCellAnchor>
    <xdr:from>
      <xdr:col>4</xdr:col>
      <xdr:colOff>388649</xdr:colOff>
      <xdr:row>288</xdr:row>
      <xdr:rowOff>20411</xdr:rowOff>
    </xdr:from>
    <xdr:to>
      <xdr:col>4</xdr:col>
      <xdr:colOff>964649</xdr:colOff>
      <xdr:row>288</xdr:row>
      <xdr:rowOff>595416</xdr:rowOff>
    </xdr:to>
    <xdr:pic>
      <xdr:nvPicPr>
        <xdr:cNvPr id="2208" name="Picture 2207">
          <a:extLst>
            <a:ext uri="{FF2B5EF4-FFF2-40B4-BE49-F238E27FC236}">
              <a16:creationId xmlns:a16="http://schemas.microsoft.com/office/drawing/2014/main" id="{71EE0C59-7E1F-4AD1-89B2-6355C5E4FF7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40466136"/>
          <a:ext cx="576000" cy="575005"/>
        </a:xfrm>
        <a:prstGeom prst="rect">
          <a:avLst/>
        </a:prstGeom>
      </xdr:spPr>
    </xdr:pic>
    <xdr:clientData/>
  </xdr:twoCellAnchor>
  <xdr:twoCellAnchor>
    <xdr:from>
      <xdr:col>4</xdr:col>
      <xdr:colOff>380046</xdr:colOff>
      <xdr:row>291</xdr:row>
      <xdr:rowOff>18141</xdr:rowOff>
    </xdr:from>
    <xdr:to>
      <xdr:col>4</xdr:col>
      <xdr:colOff>956046</xdr:colOff>
      <xdr:row>291</xdr:row>
      <xdr:rowOff>594141</xdr:rowOff>
    </xdr:to>
    <xdr:pic>
      <xdr:nvPicPr>
        <xdr:cNvPr id="2209" name="Picture 2208" descr="safety vests">
          <a:extLst>
            <a:ext uri="{FF2B5EF4-FFF2-40B4-BE49-F238E27FC236}">
              <a16:creationId xmlns:a16="http://schemas.microsoft.com/office/drawing/2014/main" id="{1689ED52-49E3-4F32-A13D-03D6C925824E}"/>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42288824"/>
          <a:ext cx="576000" cy="576000"/>
        </a:xfrm>
        <a:prstGeom prst="rect">
          <a:avLst/>
        </a:prstGeom>
        <a:noFill/>
        <a:ln>
          <a:noFill/>
        </a:ln>
      </xdr:spPr>
    </xdr:pic>
    <xdr:clientData/>
  </xdr:twoCellAnchor>
  <xdr:twoCellAnchor>
    <xdr:from>
      <xdr:col>4</xdr:col>
      <xdr:colOff>380202</xdr:colOff>
      <xdr:row>290</xdr:row>
      <xdr:rowOff>17010</xdr:rowOff>
    </xdr:from>
    <xdr:to>
      <xdr:col>4</xdr:col>
      <xdr:colOff>956202</xdr:colOff>
      <xdr:row>290</xdr:row>
      <xdr:rowOff>593010</xdr:rowOff>
    </xdr:to>
    <xdr:pic>
      <xdr:nvPicPr>
        <xdr:cNvPr id="2210" name="Picture 2209">
          <a:extLst>
            <a:ext uri="{FF2B5EF4-FFF2-40B4-BE49-F238E27FC236}">
              <a16:creationId xmlns:a16="http://schemas.microsoft.com/office/drawing/2014/main" id="{77D279A4-D9A3-43A2-9883-764E14FCFB0B}"/>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41679373"/>
          <a:ext cx="576000" cy="576000"/>
        </a:xfrm>
        <a:prstGeom prst="rect">
          <a:avLst/>
        </a:prstGeom>
      </xdr:spPr>
    </xdr:pic>
    <xdr:clientData/>
  </xdr:twoCellAnchor>
  <xdr:twoCellAnchor>
    <xdr:from>
      <xdr:col>4</xdr:col>
      <xdr:colOff>457020</xdr:colOff>
      <xdr:row>294</xdr:row>
      <xdr:rowOff>30345</xdr:rowOff>
    </xdr:from>
    <xdr:to>
      <xdr:col>4</xdr:col>
      <xdr:colOff>889020</xdr:colOff>
      <xdr:row>294</xdr:row>
      <xdr:rowOff>452820</xdr:rowOff>
    </xdr:to>
    <xdr:pic>
      <xdr:nvPicPr>
        <xdr:cNvPr id="2211" name="Picture 2210">
          <a:extLst>
            <a:ext uri="{FF2B5EF4-FFF2-40B4-BE49-F238E27FC236}">
              <a16:creationId xmlns:a16="http://schemas.microsoft.com/office/drawing/2014/main" id="{3F718BDD-3CB1-4D4F-A12F-B072BB928432}"/>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44125986"/>
          <a:ext cx="432000" cy="422475"/>
        </a:xfrm>
        <a:prstGeom prst="rect">
          <a:avLst/>
        </a:prstGeom>
        <a:ln>
          <a:solidFill>
            <a:schemeClr val="tx1"/>
          </a:solidFill>
        </a:ln>
      </xdr:spPr>
    </xdr:pic>
    <xdr:clientData/>
  </xdr:twoCellAnchor>
  <xdr:twoCellAnchor>
    <xdr:from>
      <xdr:col>4</xdr:col>
      <xdr:colOff>404994</xdr:colOff>
      <xdr:row>294</xdr:row>
      <xdr:rowOff>30344</xdr:rowOff>
    </xdr:from>
    <xdr:to>
      <xdr:col>4</xdr:col>
      <xdr:colOff>944994</xdr:colOff>
      <xdr:row>294</xdr:row>
      <xdr:rowOff>570344</xdr:rowOff>
    </xdr:to>
    <xdr:pic>
      <xdr:nvPicPr>
        <xdr:cNvPr id="2212" name="Picture 2211">
          <a:extLst>
            <a:ext uri="{FF2B5EF4-FFF2-40B4-BE49-F238E27FC236}">
              <a16:creationId xmlns:a16="http://schemas.microsoft.com/office/drawing/2014/main" id="{5E2668B5-CBB9-4CC8-971E-B0F2A486A48D}"/>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44125985"/>
          <a:ext cx="540000" cy="540000"/>
        </a:xfrm>
        <a:prstGeom prst="rect">
          <a:avLst/>
        </a:prstGeom>
        <a:ln>
          <a:solidFill>
            <a:schemeClr val="tx1"/>
          </a:solidFill>
        </a:ln>
      </xdr:spPr>
    </xdr:pic>
    <xdr:clientData/>
  </xdr:twoCellAnchor>
  <xdr:twoCellAnchor>
    <xdr:from>
      <xdr:col>4</xdr:col>
      <xdr:colOff>379338</xdr:colOff>
      <xdr:row>293</xdr:row>
      <xdr:rowOff>17007</xdr:rowOff>
    </xdr:from>
    <xdr:to>
      <xdr:col>4</xdr:col>
      <xdr:colOff>955338</xdr:colOff>
      <xdr:row>293</xdr:row>
      <xdr:rowOff>593007</xdr:rowOff>
    </xdr:to>
    <xdr:pic>
      <xdr:nvPicPr>
        <xdr:cNvPr id="2213" name="Picture 2212">
          <a:extLst>
            <a:ext uri="{FF2B5EF4-FFF2-40B4-BE49-F238E27FC236}">
              <a16:creationId xmlns:a16="http://schemas.microsoft.com/office/drawing/2014/main" id="{3102DE32-DC97-4139-8ADA-C8394B02117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43504328"/>
          <a:ext cx="576000" cy="576000"/>
        </a:xfrm>
        <a:prstGeom prst="rect">
          <a:avLst/>
        </a:prstGeom>
        <a:noFill/>
      </xdr:spPr>
    </xdr:pic>
    <xdr:clientData/>
  </xdr:twoCellAnchor>
  <xdr:twoCellAnchor>
    <xdr:from>
      <xdr:col>4</xdr:col>
      <xdr:colOff>380535</xdr:colOff>
      <xdr:row>292</xdr:row>
      <xdr:rowOff>17008</xdr:rowOff>
    </xdr:from>
    <xdr:to>
      <xdr:col>4</xdr:col>
      <xdr:colOff>956535</xdr:colOff>
      <xdr:row>292</xdr:row>
      <xdr:rowOff>593008</xdr:rowOff>
    </xdr:to>
    <xdr:pic>
      <xdr:nvPicPr>
        <xdr:cNvPr id="2214" name="Picture 2213">
          <a:extLst>
            <a:ext uri="{FF2B5EF4-FFF2-40B4-BE49-F238E27FC236}">
              <a16:creationId xmlns:a16="http://schemas.microsoft.com/office/drawing/2014/main" id="{CB84E8EF-407F-4E40-9B69-B3D9C7FD825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42896010"/>
          <a:ext cx="576000" cy="576000"/>
        </a:xfrm>
        <a:prstGeom prst="rect">
          <a:avLst/>
        </a:prstGeom>
      </xdr:spPr>
    </xdr:pic>
    <xdr:clientData/>
  </xdr:twoCellAnchor>
  <xdr:twoCellAnchor>
    <xdr:from>
      <xdr:col>4</xdr:col>
      <xdr:colOff>387002</xdr:colOff>
      <xdr:row>296</xdr:row>
      <xdr:rowOff>18540</xdr:rowOff>
    </xdr:from>
    <xdr:to>
      <xdr:col>4</xdr:col>
      <xdr:colOff>963002</xdr:colOff>
      <xdr:row>296</xdr:row>
      <xdr:rowOff>594540</xdr:rowOff>
    </xdr:to>
    <xdr:pic>
      <xdr:nvPicPr>
        <xdr:cNvPr id="2215" name="Picture 2214">
          <a:extLst>
            <a:ext uri="{FF2B5EF4-FFF2-40B4-BE49-F238E27FC236}">
              <a16:creationId xmlns:a16="http://schemas.microsoft.com/office/drawing/2014/main" id="{CD4E3BFA-B2EE-4A58-B65F-FD1606AEE365}"/>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64188719"/>
          <a:ext cx="576000" cy="576000"/>
        </a:xfrm>
        <a:prstGeom prst="rect">
          <a:avLst/>
        </a:prstGeom>
        <a:noFill/>
      </xdr:spPr>
    </xdr:pic>
    <xdr:clientData/>
  </xdr:twoCellAnchor>
  <xdr:twoCellAnchor>
    <xdr:from>
      <xdr:col>4</xdr:col>
      <xdr:colOff>382711</xdr:colOff>
      <xdr:row>295</xdr:row>
      <xdr:rowOff>23810</xdr:rowOff>
    </xdr:from>
    <xdr:to>
      <xdr:col>4</xdr:col>
      <xdr:colOff>958711</xdr:colOff>
      <xdr:row>295</xdr:row>
      <xdr:rowOff>599810</xdr:rowOff>
    </xdr:to>
    <xdr:pic>
      <xdr:nvPicPr>
        <xdr:cNvPr id="2216" name="Picture 2215" descr="head protection">
          <a:extLst>
            <a:ext uri="{FF2B5EF4-FFF2-40B4-BE49-F238E27FC236}">
              <a16:creationId xmlns:a16="http://schemas.microsoft.com/office/drawing/2014/main" id="{C08BA546-B7C7-4D04-8F32-AA38218920F2}"/>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63585669"/>
          <a:ext cx="576000" cy="576000"/>
        </a:xfrm>
        <a:prstGeom prst="rect">
          <a:avLst/>
        </a:prstGeom>
        <a:noFill/>
        <a:ln>
          <a:noFill/>
        </a:ln>
      </xdr:spPr>
    </xdr:pic>
    <xdr:clientData/>
  </xdr:twoCellAnchor>
  <xdr:twoCellAnchor>
    <xdr:from>
      <xdr:col>4</xdr:col>
      <xdr:colOff>385942</xdr:colOff>
      <xdr:row>298</xdr:row>
      <xdr:rowOff>20407</xdr:rowOff>
    </xdr:from>
    <xdr:to>
      <xdr:col>4</xdr:col>
      <xdr:colOff>961942</xdr:colOff>
      <xdr:row>298</xdr:row>
      <xdr:rowOff>596407</xdr:rowOff>
    </xdr:to>
    <xdr:pic>
      <xdr:nvPicPr>
        <xdr:cNvPr id="2217" name="Picture 2216">
          <a:extLst>
            <a:ext uri="{FF2B5EF4-FFF2-40B4-BE49-F238E27FC236}">
              <a16:creationId xmlns:a16="http://schemas.microsoft.com/office/drawing/2014/main" id="{7B8127A0-6799-41AA-998C-201862CC62E1}"/>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65407224"/>
          <a:ext cx="576000" cy="576000"/>
        </a:xfrm>
        <a:prstGeom prst="rect">
          <a:avLst/>
        </a:prstGeom>
        <a:noFill/>
        <a:ln>
          <a:noFill/>
        </a:ln>
      </xdr:spPr>
    </xdr:pic>
    <xdr:clientData/>
  </xdr:twoCellAnchor>
  <xdr:twoCellAnchor>
    <xdr:from>
      <xdr:col>4</xdr:col>
      <xdr:colOff>388649</xdr:colOff>
      <xdr:row>297</xdr:row>
      <xdr:rowOff>20411</xdr:rowOff>
    </xdr:from>
    <xdr:to>
      <xdr:col>4</xdr:col>
      <xdr:colOff>964649</xdr:colOff>
      <xdr:row>297</xdr:row>
      <xdr:rowOff>595416</xdr:rowOff>
    </xdr:to>
    <xdr:pic>
      <xdr:nvPicPr>
        <xdr:cNvPr id="2218" name="Picture 2217">
          <a:extLst>
            <a:ext uri="{FF2B5EF4-FFF2-40B4-BE49-F238E27FC236}">
              <a16:creationId xmlns:a16="http://schemas.microsoft.com/office/drawing/2014/main" id="{835C391F-96DF-47AC-9045-376587C8ADF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64798909"/>
          <a:ext cx="576000" cy="575005"/>
        </a:xfrm>
        <a:prstGeom prst="rect">
          <a:avLst/>
        </a:prstGeom>
      </xdr:spPr>
    </xdr:pic>
    <xdr:clientData/>
  </xdr:twoCellAnchor>
  <xdr:twoCellAnchor>
    <xdr:from>
      <xdr:col>4</xdr:col>
      <xdr:colOff>380046</xdr:colOff>
      <xdr:row>300</xdr:row>
      <xdr:rowOff>18141</xdr:rowOff>
    </xdr:from>
    <xdr:to>
      <xdr:col>4</xdr:col>
      <xdr:colOff>956046</xdr:colOff>
      <xdr:row>300</xdr:row>
      <xdr:rowOff>594141</xdr:rowOff>
    </xdr:to>
    <xdr:pic>
      <xdr:nvPicPr>
        <xdr:cNvPr id="2219" name="Picture 2218" descr="safety vests">
          <a:extLst>
            <a:ext uri="{FF2B5EF4-FFF2-40B4-BE49-F238E27FC236}">
              <a16:creationId xmlns:a16="http://schemas.microsoft.com/office/drawing/2014/main" id="{2F073D20-C9D6-47DF-AB84-2F8C509559A8}"/>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66621597"/>
          <a:ext cx="576000" cy="576000"/>
        </a:xfrm>
        <a:prstGeom prst="rect">
          <a:avLst/>
        </a:prstGeom>
        <a:noFill/>
        <a:ln>
          <a:noFill/>
        </a:ln>
      </xdr:spPr>
    </xdr:pic>
    <xdr:clientData/>
  </xdr:twoCellAnchor>
  <xdr:twoCellAnchor>
    <xdr:from>
      <xdr:col>4</xdr:col>
      <xdr:colOff>380202</xdr:colOff>
      <xdr:row>299</xdr:row>
      <xdr:rowOff>17010</xdr:rowOff>
    </xdr:from>
    <xdr:to>
      <xdr:col>4</xdr:col>
      <xdr:colOff>956202</xdr:colOff>
      <xdr:row>299</xdr:row>
      <xdr:rowOff>593010</xdr:rowOff>
    </xdr:to>
    <xdr:pic>
      <xdr:nvPicPr>
        <xdr:cNvPr id="2220" name="Picture 2219">
          <a:extLst>
            <a:ext uri="{FF2B5EF4-FFF2-40B4-BE49-F238E27FC236}">
              <a16:creationId xmlns:a16="http://schemas.microsoft.com/office/drawing/2014/main" id="{DBD8E18C-B522-4EA6-ABEF-FFBC901E7835}"/>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66012147"/>
          <a:ext cx="576000" cy="576000"/>
        </a:xfrm>
        <a:prstGeom prst="rect">
          <a:avLst/>
        </a:prstGeom>
      </xdr:spPr>
    </xdr:pic>
    <xdr:clientData/>
  </xdr:twoCellAnchor>
  <xdr:twoCellAnchor>
    <xdr:from>
      <xdr:col>4</xdr:col>
      <xdr:colOff>457020</xdr:colOff>
      <xdr:row>303</xdr:row>
      <xdr:rowOff>30345</xdr:rowOff>
    </xdr:from>
    <xdr:to>
      <xdr:col>4</xdr:col>
      <xdr:colOff>889020</xdr:colOff>
      <xdr:row>303</xdr:row>
      <xdr:rowOff>452820</xdr:rowOff>
    </xdr:to>
    <xdr:pic>
      <xdr:nvPicPr>
        <xdr:cNvPr id="2221" name="Picture 2220">
          <a:extLst>
            <a:ext uri="{FF2B5EF4-FFF2-40B4-BE49-F238E27FC236}">
              <a16:creationId xmlns:a16="http://schemas.microsoft.com/office/drawing/2014/main" id="{AB4A35E5-0BC4-497B-8870-7B670B7ED96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68458759"/>
          <a:ext cx="432000" cy="422475"/>
        </a:xfrm>
        <a:prstGeom prst="rect">
          <a:avLst/>
        </a:prstGeom>
        <a:ln>
          <a:solidFill>
            <a:schemeClr val="tx1"/>
          </a:solidFill>
        </a:ln>
      </xdr:spPr>
    </xdr:pic>
    <xdr:clientData/>
  </xdr:twoCellAnchor>
  <xdr:twoCellAnchor>
    <xdr:from>
      <xdr:col>4</xdr:col>
      <xdr:colOff>404994</xdr:colOff>
      <xdr:row>303</xdr:row>
      <xdr:rowOff>30344</xdr:rowOff>
    </xdr:from>
    <xdr:to>
      <xdr:col>4</xdr:col>
      <xdr:colOff>944994</xdr:colOff>
      <xdr:row>303</xdr:row>
      <xdr:rowOff>570344</xdr:rowOff>
    </xdr:to>
    <xdr:pic>
      <xdr:nvPicPr>
        <xdr:cNvPr id="2222" name="Picture 2221">
          <a:extLst>
            <a:ext uri="{FF2B5EF4-FFF2-40B4-BE49-F238E27FC236}">
              <a16:creationId xmlns:a16="http://schemas.microsoft.com/office/drawing/2014/main" id="{53E261B6-03F0-4695-A619-2D72C3A1671D}"/>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68458758"/>
          <a:ext cx="540000" cy="540000"/>
        </a:xfrm>
        <a:prstGeom prst="rect">
          <a:avLst/>
        </a:prstGeom>
        <a:ln>
          <a:solidFill>
            <a:schemeClr val="tx1"/>
          </a:solidFill>
        </a:ln>
      </xdr:spPr>
    </xdr:pic>
    <xdr:clientData/>
  </xdr:twoCellAnchor>
  <xdr:twoCellAnchor>
    <xdr:from>
      <xdr:col>4</xdr:col>
      <xdr:colOff>379338</xdr:colOff>
      <xdr:row>302</xdr:row>
      <xdr:rowOff>17007</xdr:rowOff>
    </xdr:from>
    <xdr:to>
      <xdr:col>4</xdr:col>
      <xdr:colOff>955338</xdr:colOff>
      <xdr:row>302</xdr:row>
      <xdr:rowOff>593007</xdr:rowOff>
    </xdr:to>
    <xdr:pic>
      <xdr:nvPicPr>
        <xdr:cNvPr id="2223" name="Picture 2222">
          <a:extLst>
            <a:ext uri="{FF2B5EF4-FFF2-40B4-BE49-F238E27FC236}">
              <a16:creationId xmlns:a16="http://schemas.microsoft.com/office/drawing/2014/main" id="{9AC51CBD-CFB6-48E0-894E-F469E8E36C1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67837102"/>
          <a:ext cx="576000" cy="576000"/>
        </a:xfrm>
        <a:prstGeom prst="rect">
          <a:avLst/>
        </a:prstGeom>
        <a:noFill/>
      </xdr:spPr>
    </xdr:pic>
    <xdr:clientData/>
  </xdr:twoCellAnchor>
  <xdr:twoCellAnchor>
    <xdr:from>
      <xdr:col>4</xdr:col>
      <xdr:colOff>380535</xdr:colOff>
      <xdr:row>301</xdr:row>
      <xdr:rowOff>17008</xdr:rowOff>
    </xdr:from>
    <xdr:to>
      <xdr:col>4</xdr:col>
      <xdr:colOff>956535</xdr:colOff>
      <xdr:row>301</xdr:row>
      <xdr:rowOff>593008</xdr:rowOff>
    </xdr:to>
    <xdr:pic>
      <xdr:nvPicPr>
        <xdr:cNvPr id="2224" name="Picture 2223">
          <a:extLst>
            <a:ext uri="{FF2B5EF4-FFF2-40B4-BE49-F238E27FC236}">
              <a16:creationId xmlns:a16="http://schemas.microsoft.com/office/drawing/2014/main" id="{ABFFD087-8B15-4361-940A-71EDED3C078D}"/>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67228783"/>
          <a:ext cx="576000" cy="576000"/>
        </a:xfrm>
        <a:prstGeom prst="rect">
          <a:avLst/>
        </a:prstGeom>
      </xdr:spPr>
    </xdr:pic>
    <xdr:clientData/>
  </xdr:twoCellAnchor>
  <xdr:twoCellAnchor>
    <xdr:from>
      <xdr:col>4</xdr:col>
      <xdr:colOff>387002</xdr:colOff>
      <xdr:row>304</xdr:row>
      <xdr:rowOff>18540</xdr:rowOff>
    </xdr:from>
    <xdr:to>
      <xdr:col>4</xdr:col>
      <xdr:colOff>963002</xdr:colOff>
      <xdr:row>304</xdr:row>
      <xdr:rowOff>594540</xdr:rowOff>
    </xdr:to>
    <xdr:pic>
      <xdr:nvPicPr>
        <xdr:cNvPr id="2225" name="Picture 2224">
          <a:extLst>
            <a:ext uri="{FF2B5EF4-FFF2-40B4-BE49-F238E27FC236}">
              <a16:creationId xmlns:a16="http://schemas.microsoft.com/office/drawing/2014/main" id="{5D697A1D-20A0-4526-925D-94AD89493D87}"/>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169663593"/>
          <a:ext cx="576000" cy="576000"/>
        </a:xfrm>
        <a:prstGeom prst="rect">
          <a:avLst/>
        </a:prstGeom>
        <a:noFill/>
      </xdr:spPr>
    </xdr:pic>
    <xdr:clientData/>
  </xdr:twoCellAnchor>
  <xdr:twoCellAnchor>
    <xdr:from>
      <xdr:col>4</xdr:col>
      <xdr:colOff>385942</xdr:colOff>
      <xdr:row>306</xdr:row>
      <xdr:rowOff>20407</xdr:rowOff>
    </xdr:from>
    <xdr:to>
      <xdr:col>4</xdr:col>
      <xdr:colOff>961942</xdr:colOff>
      <xdr:row>306</xdr:row>
      <xdr:rowOff>596407</xdr:rowOff>
    </xdr:to>
    <xdr:pic>
      <xdr:nvPicPr>
        <xdr:cNvPr id="2226" name="Picture 2225">
          <a:extLst>
            <a:ext uri="{FF2B5EF4-FFF2-40B4-BE49-F238E27FC236}">
              <a16:creationId xmlns:a16="http://schemas.microsoft.com/office/drawing/2014/main" id="{C774A059-8569-4EBB-AFBF-6D3021C52600}"/>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70882098"/>
          <a:ext cx="576000" cy="576000"/>
        </a:xfrm>
        <a:prstGeom prst="rect">
          <a:avLst/>
        </a:prstGeom>
        <a:noFill/>
        <a:ln>
          <a:noFill/>
        </a:ln>
      </xdr:spPr>
    </xdr:pic>
    <xdr:clientData/>
  </xdr:twoCellAnchor>
  <xdr:twoCellAnchor>
    <xdr:from>
      <xdr:col>4</xdr:col>
      <xdr:colOff>388649</xdr:colOff>
      <xdr:row>305</xdr:row>
      <xdr:rowOff>20411</xdr:rowOff>
    </xdr:from>
    <xdr:to>
      <xdr:col>4</xdr:col>
      <xdr:colOff>964649</xdr:colOff>
      <xdr:row>305</xdr:row>
      <xdr:rowOff>595416</xdr:rowOff>
    </xdr:to>
    <xdr:pic>
      <xdr:nvPicPr>
        <xdr:cNvPr id="2227" name="Picture 2226">
          <a:extLst>
            <a:ext uri="{FF2B5EF4-FFF2-40B4-BE49-F238E27FC236}">
              <a16:creationId xmlns:a16="http://schemas.microsoft.com/office/drawing/2014/main" id="{1101DF74-4A39-4394-8D30-C0D32C229CC7}"/>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170273783"/>
          <a:ext cx="576000" cy="575005"/>
        </a:xfrm>
        <a:prstGeom prst="rect">
          <a:avLst/>
        </a:prstGeom>
      </xdr:spPr>
    </xdr:pic>
    <xdr:clientData/>
  </xdr:twoCellAnchor>
  <xdr:twoCellAnchor>
    <xdr:from>
      <xdr:col>4</xdr:col>
      <xdr:colOff>380046</xdr:colOff>
      <xdr:row>308</xdr:row>
      <xdr:rowOff>18141</xdr:rowOff>
    </xdr:from>
    <xdr:to>
      <xdr:col>4</xdr:col>
      <xdr:colOff>956046</xdr:colOff>
      <xdr:row>308</xdr:row>
      <xdr:rowOff>594141</xdr:rowOff>
    </xdr:to>
    <xdr:pic>
      <xdr:nvPicPr>
        <xdr:cNvPr id="2228" name="Picture 2227" descr="safety vests">
          <a:extLst>
            <a:ext uri="{FF2B5EF4-FFF2-40B4-BE49-F238E27FC236}">
              <a16:creationId xmlns:a16="http://schemas.microsoft.com/office/drawing/2014/main" id="{61B5C5DC-6A70-4DD3-B25F-B7A98D24DC82}"/>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72096471"/>
          <a:ext cx="576000" cy="576000"/>
        </a:xfrm>
        <a:prstGeom prst="rect">
          <a:avLst/>
        </a:prstGeom>
        <a:noFill/>
        <a:ln>
          <a:noFill/>
        </a:ln>
      </xdr:spPr>
    </xdr:pic>
    <xdr:clientData/>
  </xdr:twoCellAnchor>
  <xdr:twoCellAnchor>
    <xdr:from>
      <xdr:col>4</xdr:col>
      <xdr:colOff>380202</xdr:colOff>
      <xdr:row>307</xdr:row>
      <xdr:rowOff>17010</xdr:rowOff>
    </xdr:from>
    <xdr:to>
      <xdr:col>4</xdr:col>
      <xdr:colOff>956202</xdr:colOff>
      <xdr:row>307</xdr:row>
      <xdr:rowOff>593010</xdr:rowOff>
    </xdr:to>
    <xdr:pic>
      <xdr:nvPicPr>
        <xdr:cNvPr id="2229" name="Picture 2228">
          <a:extLst>
            <a:ext uri="{FF2B5EF4-FFF2-40B4-BE49-F238E27FC236}">
              <a16:creationId xmlns:a16="http://schemas.microsoft.com/office/drawing/2014/main" id="{766CD897-7A13-4E52-911E-7DA5F185F3F0}"/>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71487021"/>
          <a:ext cx="576000" cy="576000"/>
        </a:xfrm>
        <a:prstGeom prst="rect">
          <a:avLst/>
        </a:prstGeom>
      </xdr:spPr>
    </xdr:pic>
    <xdr:clientData/>
  </xdr:twoCellAnchor>
  <xdr:twoCellAnchor>
    <xdr:from>
      <xdr:col>4</xdr:col>
      <xdr:colOff>457020</xdr:colOff>
      <xdr:row>311</xdr:row>
      <xdr:rowOff>30345</xdr:rowOff>
    </xdr:from>
    <xdr:to>
      <xdr:col>4</xdr:col>
      <xdr:colOff>889020</xdr:colOff>
      <xdr:row>311</xdr:row>
      <xdr:rowOff>452820</xdr:rowOff>
    </xdr:to>
    <xdr:pic>
      <xdr:nvPicPr>
        <xdr:cNvPr id="2230" name="Picture 2229">
          <a:extLst>
            <a:ext uri="{FF2B5EF4-FFF2-40B4-BE49-F238E27FC236}">
              <a16:creationId xmlns:a16="http://schemas.microsoft.com/office/drawing/2014/main" id="{F9F556DF-CD62-451B-9651-3780CF135EB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73933633"/>
          <a:ext cx="432000" cy="422475"/>
        </a:xfrm>
        <a:prstGeom prst="rect">
          <a:avLst/>
        </a:prstGeom>
        <a:ln>
          <a:solidFill>
            <a:schemeClr val="tx1"/>
          </a:solidFill>
        </a:ln>
      </xdr:spPr>
    </xdr:pic>
    <xdr:clientData/>
  </xdr:twoCellAnchor>
  <xdr:twoCellAnchor>
    <xdr:from>
      <xdr:col>4</xdr:col>
      <xdr:colOff>404994</xdr:colOff>
      <xdr:row>311</xdr:row>
      <xdr:rowOff>30344</xdr:rowOff>
    </xdr:from>
    <xdr:to>
      <xdr:col>4</xdr:col>
      <xdr:colOff>944994</xdr:colOff>
      <xdr:row>311</xdr:row>
      <xdr:rowOff>570344</xdr:rowOff>
    </xdr:to>
    <xdr:pic>
      <xdr:nvPicPr>
        <xdr:cNvPr id="2231" name="Picture 2230">
          <a:extLst>
            <a:ext uri="{FF2B5EF4-FFF2-40B4-BE49-F238E27FC236}">
              <a16:creationId xmlns:a16="http://schemas.microsoft.com/office/drawing/2014/main" id="{B734DF2D-98B3-4BA7-AEDF-E4F967EC8CB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73933632"/>
          <a:ext cx="540000" cy="540000"/>
        </a:xfrm>
        <a:prstGeom prst="rect">
          <a:avLst/>
        </a:prstGeom>
        <a:ln>
          <a:solidFill>
            <a:schemeClr val="tx1"/>
          </a:solidFill>
        </a:ln>
      </xdr:spPr>
    </xdr:pic>
    <xdr:clientData/>
  </xdr:twoCellAnchor>
  <xdr:twoCellAnchor>
    <xdr:from>
      <xdr:col>4</xdr:col>
      <xdr:colOff>379338</xdr:colOff>
      <xdr:row>310</xdr:row>
      <xdr:rowOff>17007</xdr:rowOff>
    </xdr:from>
    <xdr:to>
      <xdr:col>4</xdr:col>
      <xdr:colOff>955338</xdr:colOff>
      <xdr:row>310</xdr:row>
      <xdr:rowOff>593007</xdr:rowOff>
    </xdr:to>
    <xdr:pic>
      <xdr:nvPicPr>
        <xdr:cNvPr id="2232" name="Picture 2231">
          <a:extLst>
            <a:ext uri="{FF2B5EF4-FFF2-40B4-BE49-F238E27FC236}">
              <a16:creationId xmlns:a16="http://schemas.microsoft.com/office/drawing/2014/main" id="{567E4E25-6148-4A1B-9A04-87A509E2381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73311975"/>
          <a:ext cx="576000" cy="576000"/>
        </a:xfrm>
        <a:prstGeom prst="rect">
          <a:avLst/>
        </a:prstGeom>
        <a:noFill/>
      </xdr:spPr>
    </xdr:pic>
    <xdr:clientData/>
  </xdr:twoCellAnchor>
  <xdr:twoCellAnchor>
    <xdr:from>
      <xdr:col>4</xdr:col>
      <xdr:colOff>380535</xdr:colOff>
      <xdr:row>309</xdr:row>
      <xdr:rowOff>17008</xdr:rowOff>
    </xdr:from>
    <xdr:to>
      <xdr:col>4</xdr:col>
      <xdr:colOff>956535</xdr:colOff>
      <xdr:row>309</xdr:row>
      <xdr:rowOff>593008</xdr:rowOff>
    </xdr:to>
    <xdr:pic>
      <xdr:nvPicPr>
        <xdr:cNvPr id="2233" name="Picture 2232">
          <a:extLst>
            <a:ext uri="{FF2B5EF4-FFF2-40B4-BE49-F238E27FC236}">
              <a16:creationId xmlns:a16="http://schemas.microsoft.com/office/drawing/2014/main" id="{63A54FDA-CF58-4FAE-84C5-8D2C69B363B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72703657"/>
          <a:ext cx="576000" cy="576000"/>
        </a:xfrm>
        <a:prstGeom prst="rect">
          <a:avLst/>
        </a:prstGeom>
      </xdr:spPr>
    </xdr:pic>
    <xdr:clientData/>
  </xdr:twoCellAnchor>
  <xdr:twoCellAnchor>
    <xdr:from>
      <xdr:col>4</xdr:col>
      <xdr:colOff>385942</xdr:colOff>
      <xdr:row>312</xdr:row>
      <xdr:rowOff>20407</xdr:rowOff>
    </xdr:from>
    <xdr:to>
      <xdr:col>4</xdr:col>
      <xdr:colOff>961942</xdr:colOff>
      <xdr:row>312</xdr:row>
      <xdr:rowOff>596407</xdr:rowOff>
    </xdr:to>
    <xdr:pic>
      <xdr:nvPicPr>
        <xdr:cNvPr id="2234" name="Picture 2233">
          <a:extLst>
            <a:ext uri="{FF2B5EF4-FFF2-40B4-BE49-F238E27FC236}">
              <a16:creationId xmlns:a16="http://schemas.microsoft.com/office/drawing/2014/main" id="{1481976C-4D92-40F3-93FD-2DD0F371273C}"/>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75748653"/>
          <a:ext cx="576000" cy="576000"/>
        </a:xfrm>
        <a:prstGeom prst="rect">
          <a:avLst/>
        </a:prstGeom>
        <a:noFill/>
        <a:ln>
          <a:noFill/>
        </a:ln>
      </xdr:spPr>
    </xdr:pic>
    <xdr:clientData/>
  </xdr:twoCellAnchor>
  <xdr:twoCellAnchor>
    <xdr:from>
      <xdr:col>4</xdr:col>
      <xdr:colOff>380046</xdr:colOff>
      <xdr:row>314</xdr:row>
      <xdr:rowOff>18141</xdr:rowOff>
    </xdr:from>
    <xdr:to>
      <xdr:col>4</xdr:col>
      <xdr:colOff>956046</xdr:colOff>
      <xdr:row>314</xdr:row>
      <xdr:rowOff>594141</xdr:rowOff>
    </xdr:to>
    <xdr:pic>
      <xdr:nvPicPr>
        <xdr:cNvPr id="2235" name="Picture 2234" descr="safety vests">
          <a:extLst>
            <a:ext uri="{FF2B5EF4-FFF2-40B4-BE49-F238E27FC236}">
              <a16:creationId xmlns:a16="http://schemas.microsoft.com/office/drawing/2014/main" id="{410F045A-C573-4B8C-9798-F24690F9DF8F}"/>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76963025"/>
          <a:ext cx="576000" cy="576000"/>
        </a:xfrm>
        <a:prstGeom prst="rect">
          <a:avLst/>
        </a:prstGeom>
        <a:noFill/>
        <a:ln>
          <a:noFill/>
        </a:ln>
      </xdr:spPr>
    </xdr:pic>
    <xdr:clientData/>
  </xdr:twoCellAnchor>
  <xdr:twoCellAnchor>
    <xdr:from>
      <xdr:col>4</xdr:col>
      <xdr:colOff>380202</xdr:colOff>
      <xdr:row>313</xdr:row>
      <xdr:rowOff>17010</xdr:rowOff>
    </xdr:from>
    <xdr:to>
      <xdr:col>4</xdr:col>
      <xdr:colOff>956202</xdr:colOff>
      <xdr:row>313</xdr:row>
      <xdr:rowOff>593010</xdr:rowOff>
    </xdr:to>
    <xdr:pic>
      <xdr:nvPicPr>
        <xdr:cNvPr id="2236" name="Picture 2235">
          <a:extLst>
            <a:ext uri="{FF2B5EF4-FFF2-40B4-BE49-F238E27FC236}">
              <a16:creationId xmlns:a16="http://schemas.microsoft.com/office/drawing/2014/main" id="{58F330EC-D294-4793-A8AC-A9E34B261FBD}"/>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76353575"/>
          <a:ext cx="576000" cy="576000"/>
        </a:xfrm>
        <a:prstGeom prst="rect">
          <a:avLst/>
        </a:prstGeom>
      </xdr:spPr>
    </xdr:pic>
    <xdr:clientData/>
  </xdr:twoCellAnchor>
  <xdr:twoCellAnchor>
    <xdr:from>
      <xdr:col>4</xdr:col>
      <xdr:colOff>457020</xdr:colOff>
      <xdr:row>317</xdr:row>
      <xdr:rowOff>30345</xdr:rowOff>
    </xdr:from>
    <xdr:to>
      <xdr:col>4</xdr:col>
      <xdr:colOff>889020</xdr:colOff>
      <xdr:row>317</xdr:row>
      <xdr:rowOff>452820</xdr:rowOff>
    </xdr:to>
    <xdr:pic>
      <xdr:nvPicPr>
        <xdr:cNvPr id="2237" name="Picture 2236">
          <a:extLst>
            <a:ext uri="{FF2B5EF4-FFF2-40B4-BE49-F238E27FC236}">
              <a16:creationId xmlns:a16="http://schemas.microsoft.com/office/drawing/2014/main" id="{E29EBB00-02E4-4A2C-A9CF-049A3E7461B7}"/>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78800187"/>
          <a:ext cx="432000" cy="422475"/>
        </a:xfrm>
        <a:prstGeom prst="rect">
          <a:avLst/>
        </a:prstGeom>
        <a:ln>
          <a:solidFill>
            <a:schemeClr val="tx1"/>
          </a:solidFill>
        </a:ln>
      </xdr:spPr>
    </xdr:pic>
    <xdr:clientData/>
  </xdr:twoCellAnchor>
  <xdr:twoCellAnchor>
    <xdr:from>
      <xdr:col>4</xdr:col>
      <xdr:colOff>404994</xdr:colOff>
      <xdr:row>317</xdr:row>
      <xdr:rowOff>30344</xdr:rowOff>
    </xdr:from>
    <xdr:to>
      <xdr:col>4</xdr:col>
      <xdr:colOff>944994</xdr:colOff>
      <xdr:row>317</xdr:row>
      <xdr:rowOff>570344</xdr:rowOff>
    </xdr:to>
    <xdr:pic>
      <xdr:nvPicPr>
        <xdr:cNvPr id="2238" name="Picture 2237">
          <a:extLst>
            <a:ext uri="{FF2B5EF4-FFF2-40B4-BE49-F238E27FC236}">
              <a16:creationId xmlns:a16="http://schemas.microsoft.com/office/drawing/2014/main" id="{DEBB6C54-9CB8-438C-9DA1-CF2A1A8C98B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78800186"/>
          <a:ext cx="540000" cy="540000"/>
        </a:xfrm>
        <a:prstGeom prst="rect">
          <a:avLst/>
        </a:prstGeom>
        <a:ln>
          <a:solidFill>
            <a:schemeClr val="tx1"/>
          </a:solidFill>
        </a:ln>
      </xdr:spPr>
    </xdr:pic>
    <xdr:clientData/>
  </xdr:twoCellAnchor>
  <xdr:twoCellAnchor>
    <xdr:from>
      <xdr:col>4</xdr:col>
      <xdr:colOff>379338</xdr:colOff>
      <xdr:row>316</xdr:row>
      <xdr:rowOff>17007</xdr:rowOff>
    </xdr:from>
    <xdr:to>
      <xdr:col>4</xdr:col>
      <xdr:colOff>955338</xdr:colOff>
      <xdr:row>316</xdr:row>
      <xdr:rowOff>593007</xdr:rowOff>
    </xdr:to>
    <xdr:pic>
      <xdr:nvPicPr>
        <xdr:cNvPr id="2239" name="Picture 2238">
          <a:extLst>
            <a:ext uri="{FF2B5EF4-FFF2-40B4-BE49-F238E27FC236}">
              <a16:creationId xmlns:a16="http://schemas.microsoft.com/office/drawing/2014/main" id="{DDC1B84F-DE8D-4468-968D-79DCE77C3A8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78178530"/>
          <a:ext cx="576000" cy="576000"/>
        </a:xfrm>
        <a:prstGeom prst="rect">
          <a:avLst/>
        </a:prstGeom>
        <a:noFill/>
      </xdr:spPr>
    </xdr:pic>
    <xdr:clientData/>
  </xdr:twoCellAnchor>
  <xdr:twoCellAnchor>
    <xdr:from>
      <xdr:col>4</xdr:col>
      <xdr:colOff>380535</xdr:colOff>
      <xdr:row>315</xdr:row>
      <xdr:rowOff>17008</xdr:rowOff>
    </xdr:from>
    <xdr:to>
      <xdr:col>4</xdr:col>
      <xdr:colOff>956535</xdr:colOff>
      <xdr:row>315</xdr:row>
      <xdr:rowOff>593008</xdr:rowOff>
    </xdr:to>
    <xdr:pic>
      <xdr:nvPicPr>
        <xdr:cNvPr id="2240" name="Picture 2239">
          <a:extLst>
            <a:ext uri="{FF2B5EF4-FFF2-40B4-BE49-F238E27FC236}">
              <a16:creationId xmlns:a16="http://schemas.microsoft.com/office/drawing/2014/main" id="{E76EEDF2-2370-48A1-A0E1-4C0DE50D8B9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77570212"/>
          <a:ext cx="576000" cy="576000"/>
        </a:xfrm>
        <a:prstGeom prst="rect">
          <a:avLst/>
        </a:prstGeom>
      </xdr:spPr>
    </xdr:pic>
    <xdr:clientData/>
  </xdr:twoCellAnchor>
  <xdr:twoCellAnchor>
    <xdr:from>
      <xdr:col>4</xdr:col>
      <xdr:colOff>385942</xdr:colOff>
      <xdr:row>318</xdr:row>
      <xdr:rowOff>20407</xdr:rowOff>
    </xdr:from>
    <xdr:to>
      <xdr:col>4</xdr:col>
      <xdr:colOff>961942</xdr:colOff>
      <xdr:row>318</xdr:row>
      <xdr:rowOff>596407</xdr:rowOff>
    </xdr:to>
    <xdr:pic>
      <xdr:nvPicPr>
        <xdr:cNvPr id="2241" name="Picture 2240">
          <a:extLst>
            <a:ext uri="{FF2B5EF4-FFF2-40B4-BE49-F238E27FC236}">
              <a16:creationId xmlns:a16="http://schemas.microsoft.com/office/drawing/2014/main" id="{2A960C4D-EFC5-4916-9657-5480EC9CB1C2}"/>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175748653"/>
          <a:ext cx="576000" cy="576000"/>
        </a:xfrm>
        <a:prstGeom prst="rect">
          <a:avLst/>
        </a:prstGeom>
        <a:noFill/>
        <a:ln>
          <a:noFill/>
        </a:ln>
      </xdr:spPr>
    </xdr:pic>
    <xdr:clientData/>
  </xdr:twoCellAnchor>
  <xdr:twoCellAnchor>
    <xdr:from>
      <xdr:col>4</xdr:col>
      <xdr:colOff>380046</xdr:colOff>
      <xdr:row>320</xdr:row>
      <xdr:rowOff>18141</xdr:rowOff>
    </xdr:from>
    <xdr:to>
      <xdr:col>4</xdr:col>
      <xdr:colOff>956046</xdr:colOff>
      <xdr:row>320</xdr:row>
      <xdr:rowOff>594141</xdr:rowOff>
    </xdr:to>
    <xdr:pic>
      <xdr:nvPicPr>
        <xdr:cNvPr id="2242" name="Picture 2241" descr="safety vests">
          <a:extLst>
            <a:ext uri="{FF2B5EF4-FFF2-40B4-BE49-F238E27FC236}">
              <a16:creationId xmlns:a16="http://schemas.microsoft.com/office/drawing/2014/main" id="{20B837B9-C165-4504-8415-F7E217FCCD1A}"/>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76963025"/>
          <a:ext cx="576000" cy="576000"/>
        </a:xfrm>
        <a:prstGeom prst="rect">
          <a:avLst/>
        </a:prstGeom>
        <a:noFill/>
        <a:ln>
          <a:noFill/>
        </a:ln>
      </xdr:spPr>
    </xdr:pic>
    <xdr:clientData/>
  </xdr:twoCellAnchor>
  <xdr:twoCellAnchor>
    <xdr:from>
      <xdr:col>4</xdr:col>
      <xdr:colOff>380202</xdr:colOff>
      <xdr:row>319</xdr:row>
      <xdr:rowOff>17010</xdr:rowOff>
    </xdr:from>
    <xdr:to>
      <xdr:col>4</xdr:col>
      <xdr:colOff>956202</xdr:colOff>
      <xdr:row>319</xdr:row>
      <xdr:rowOff>593010</xdr:rowOff>
    </xdr:to>
    <xdr:pic>
      <xdr:nvPicPr>
        <xdr:cNvPr id="2243" name="Picture 2242">
          <a:extLst>
            <a:ext uri="{FF2B5EF4-FFF2-40B4-BE49-F238E27FC236}">
              <a16:creationId xmlns:a16="http://schemas.microsoft.com/office/drawing/2014/main" id="{D6355C3F-D488-46C3-B60D-7D0285F7551A}"/>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76353575"/>
          <a:ext cx="576000" cy="576000"/>
        </a:xfrm>
        <a:prstGeom prst="rect">
          <a:avLst/>
        </a:prstGeom>
      </xdr:spPr>
    </xdr:pic>
    <xdr:clientData/>
  </xdr:twoCellAnchor>
  <xdr:twoCellAnchor>
    <xdr:from>
      <xdr:col>4</xdr:col>
      <xdr:colOff>457020</xdr:colOff>
      <xdr:row>323</xdr:row>
      <xdr:rowOff>30345</xdr:rowOff>
    </xdr:from>
    <xdr:to>
      <xdr:col>4</xdr:col>
      <xdr:colOff>889020</xdr:colOff>
      <xdr:row>323</xdr:row>
      <xdr:rowOff>452820</xdr:rowOff>
    </xdr:to>
    <xdr:pic>
      <xdr:nvPicPr>
        <xdr:cNvPr id="2244" name="Picture 2243">
          <a:extLst>
            <a:ext uri="{FF2B5EF4-FFF2-40B4-BE49-F238E27FC236}">
              <a16:creationId xmlns:a16="http://schemas.microsoft.com/office/drawing/2014/main" id="{80841DFC-3631-40F4-8532-79C7AFA6AABD}"/>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78800187"/>
          <a:ext cx="432000" cy="422475"/>
        </a:xfrm>
        <a:prstGeom prst="rect">
          <a:avLst/>
        </a:prstGeom>
        <a:ln>
          <a:solidFill>
            <a:schemeClr val="tx1"/>
          </a:solidFill>
        </a:ln>
      </xdr:spPr>
    </xdr:pic>
    <xdr:clientData/>
  </xdr:twoCellAnchor>
  <xdr:twoCellAnchor>
    <xdr:from>
      <xdr:col>4</xdr:col>
      <xdr:colOff>404994</xdr:colOff>
      <xdr:row>323</xdr:row>
      <xdr:rowOff>30344</xdr:rowOff>
    </xdr:from>
    <xdr:to>
      <xdr:col>4</xdr:col>
      <xdr:colOff>944994</xdr:colOff>
      <xdr:row>323</xdr:row>
      <xdr:rowOff>570344</xdr:rowOff>
    </xdr:to>
    <xdr:pic>
      <xdr:nvPicPr>
        <xdr:cNvPr id="2245" name="Picture 2244">
          <a:extLst>
            <a:ext uri="{FF2B5EF4-FFF2-40B4-BE49-F238E27FC236}">
              <a16:creationId xmlns:a16="http://schemas.microsoft.com/office/drawing/2014/main" id="{E67B1EF7-EAEA-45FA-ADE4-18951F923996}"/>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78800186"/>
          <a:ext cx="540000" cy="540000"/>
        </a:xfrm>
        <a:prstGeom prst="rect">
          <a:avLst/>
        </a:prstGeom>
        <a:ln>
          <a:solidFill>
            <a:schemeClr val="tx1"/>
          </a:solidFill>
        </a:ln>
      </xdr:spPr>
    </xdr:pic>
    <xdr:clientData/>
  </xdr:twoCellAnchor>
  <xdr:twoCellAnchor>
    <xdr:from>
      <xdr:col>4</xdr:col>
      <xdr:colOff>379338</xdr:colOff>
      <xdr:row>322</xdr:row>
      <xdr:rowOff>17007</xdr:rowOff>
    </xdr:from>
    <xdr:to>
      <xdr:col>4</xdr:col>
      <xdr:colOff>955338</xdr:colOff>
      <xdr:row>322</xdr:row>
      <xdr:rowOff>593007</xdr:rowOff>
    </xdr:to>
    <xdr:pic>
      <xdr:nvPicPr>
        <xdr:cNvPr id="2246" name="Picture 2245">
          <a:extLst>
            <a:ext uri="{FF2B5EF4-FFF2-40B4-BE49-F238E27FC236}">
              <a16:creationId xmlns:a16="http://schemas.microsoft.com/office/drawing/2014/main" id="{F05E0F75-6ACB-47B7-82E2-DF0F35255A6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78178530"/>
          <a:ext cx="576000" cy="576000"/>
        </a:xfrm>
        <a:prstGeom prst="rect">
          <a:avLst/>
        </a:prstGeom>
        <a:noFill/>
      </xdr:spPr>
    </xdr:pic>
    <xdr:clientData/>
  </xdr:twoCellAnchor>
  <xdr:twoCellAnchor>
    <xdr:from>
      <xdr:col>4</xdr:col>
      <xdr:colOff>380535</xdr:colOff>
      <xdr:row>321</xdr:row>
      <xdr:rowOff>17008</xdr:rowOff>
    </xdr:from>
    <xdr:to>
      <xdr:col>4</xdr:col>
      <xdr:colOff>956535</xdr:colOff>
      <xdr:row>321</xdr:row>
      <xdr:rowOff>593008</xdr:rowOff>
    </xdr:to>
    <xdr:pic>
      <xdr:nvPicPr>
        <xdr:cNvPr id="2247" name="Picture 2246">
          <a:extLst>
            <a:ext uri="{FF2B5EF4-FFF2-40B4-BE49-F238E27FC236}">
              <a16:creationId xmlns:a16="http://schemas.microsoft.com/office/drawing/2014/main" id="{F4AF7B7D-D8FA-4E1A-A661-22888FCA4C2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77570212"/>
          <a:ext cx="576000" cy="576000"/>
        </a:xfrm>
        <a:prstGeom prst="rect">
          <a:avLst/>
        </a:prstGeom>
      </xdr:spPr>
    </xdr:pic>
    <xdr:clientData/>
  </xdr:twoCellAnchor>
  <xdr:twoCellAnchor>
    <xdr:from>
      <xdr:col>4</xdr:col>
      <xdr:colOff>380046</xdr:colOff>
      <xdr:row>325</xdr:row>
      <xdr:rowOff>18141</xdr:rowOff>
    </xdr:from>
    <xdr:to>
      <xdr:col>4</xdr:col>
      <xdr:colOff>956046</xdr:colOff>
      <xdr:row>325</xdr:row>
      <xdr:rowOff>594141</xdr:rowOff>
    </xdr:to>
    <xdr:pic>
      <xdr:nvPicPr>
        <xdr:cNvPr id="2248" name="Picture 2247" descr="safety vests">
          <a:extLst>
            <a:ext uri="{FF2B5EF4-FFF2-40B4-BE49-F238E27FC236}">
              <a16:creationId xmlns:a16="http://schemas.microsoft.com/office/drawing/2014/main" id="{A0FCEA32-7533-4E39-A81F-7F8BAAC5C8E3}"/>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84262857"/>
          <a:ext cx="576000" cy="576000"/>
        </a:xfrm>
        <a:prstGeom prst="rect">
          <a:avLst/>
        </a:prstGeom>
        <a:noFill/>
        <a:ln>
          <a:noFill/>
        </a:ln>
      </xdr:spPr>
    </xdr:pic>
    <xdr:clientData/>
  </xdr:twoCellAnchor>
  <xdr:twoCellAnchor>
    <xdr:from>
      <xdr:col>4</xdr:col>
      <xdr:colOff>380202</xdr:colOff>
      <xdr:row>324</xdr:row>
      <xdr:rowOff>17010</xdr:rowOff>
    </xdr:from>
    <xdr:to>
      <xdr:col>4</xdr:col>
      <xdr:colOff>956202</xdr:colOff>
      <xdr:row>324</xdr:row>
      <xdr:rowOff>593010</xdr:rowOff>
    </xdr:to>
    <xdr:pic>
      <xdr:nvPicPr>
        <xdr:cNvPr id="2249" name="Picture 2248">
          <a:extLst>
            <a:ext uri="{FF2B5EF4-FFF2-40B4-BE49-F238E27FC236}">
              <a16:creationId xmlns:a16="http://schemas.microsoft.com/office/drawing/2014/main" id="{6332601A-D9B7-47F8-8FC8-35A9158D6285}"/>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183653407"/>
          <a:ext cx="576000" cy="576000"/>
        </a:xfrm>
        <a:prstGeom prst="rect">
          <a:avLst/>
        </a:prstGeom>
      </xdr:spPr>
    </xdr:pic>
    <xdr:clientData/>
  </xdr:twoCellAnchor>
  <xdr:twoCellAnchor>
    <xdr:from>
      <xdr:col>4</xdr:col>
      <xdr:colOff>457020</xdr:colOff>
      <xdr:row>328</xdr:row>
      <xdr:rowOff>30345</xdr:rowOff>
    </xdr:from>
    <xdr:to>
      <xdr:col>4</xdr:col>
      <xdr:colOff>889020</xdr:colOff>
      <xdr:row>328</xdr:row>
      <xdr:rowOff>452820</xdr:rowOff>
    </xdr:to>
    <xdr:pic>
      <xdr:nvPicPr>
        <xdr:cNvPr id="2250" name="Picture 2249">
          <a:extLst>
            <a:ext uri="{FF2B5EF4-FFF2-40B4-BE49-F238E27FC236}">
              <a16:creationId xmlns:a16="http://schemas.microsoft.com/office/drawing/2014/main" id="{F1749AD1-0AC6-4F8A-8AC1-6B3AA29791A9}"/>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186100019"/>
          <a:ext cx="432000" cy="422475"/>
        </a:xfrm>
        <a:prstGeom prst="rect">
          <a:avLst/>
        </a:prstGeom>
        <a:ln>
          <a:solidFill>
            <a:schemeClr val="tx1"/>
          </a:solidFill>
        </a:ln>
      </xdr:spPr>
    </xdr:pic>
    <xdr:clientData/>
  </xdr:twoCellAnchor>
  <xdr:twoCellAnchor>
    <xdr:from>
      <xdr:col>4</xdr:col>
      <xdr:colOff>404994</xdr:colOff>
      <xdr:row>328</xdr:row>
      <xdr:rowOff>30344</xdr:rowOff>
    </xdr:from>
    <xdr:to>
      <xdr:col>4</xdr:col>
      <xdr:colOff>944994</xdr:colOff>
      <xdr:row>328</xdr:row>
      <xdr:rowOff>570344</xdr:rowOff>
    </xdr:to>
    <xdr:pic>
      <xdr:nvPicPr>
        <xdr:cNvPr id="2251" name="Picture 2250">
          <a:extLst>
            <a:ext uri="{FF2B5EF4-FFF2-40B4-BE49-F238E27FC236}">
              <a16:creationId xmlns:a16="http://schemas.microsoft.com/office/drawing/2014/main" id="{7ED536BE-030F-4616-B76D-BD2AD548CAB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186100018"/>
          <a:ext cx="540000" cy="540000"/>
        </a:xfrm>
        <a:prstGeom prst="rect">
          <a:avLst/>
        </a:prstGeom>
        <a:ln>
          <a:solidFill>
            <a:schemeClr val="tx1"/>
          </a:solidFill>
        </a:ln>
      </xdr:spPr>
    </xdr:pic>
    <xdr:clientData/>
  </xdr:twoCellAnchor>
  <xdr:twoCellAnchor>
    <xdr:from>
      <xdr:col>4</xdr:col>
      <xdr:colOff>379338</xdr:colOff>
      <xdr:row>327</xdr:row>
      <xdr:rowOff>17007</xdr:rowOff>
    </xdr:from>
    <xdr:to>
      <xdr:col>4</xdr:col>
      <xdr:colOff>955338</xdr:colOff>
      <xdr:row>327</xdr:row>
      <xdr:rowOff>593007</xdr:rowOff>
    </xdr:to>
    <xdr:pic>
      <xdr:nvPicPr>
        <xdr:cNvPr id="2252" name="Picture 2251">
          <a:extLst>
            <a:ext uri="{FF2B5EF4-FFF2-40B4-BE49-F238E27FC236}">
              <a16:creationId xmlns:a16="http://schemas.microsoft.com/office/drawing/2014/main" id="{D372192C-DC17-42D5-937A-584E219F33C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185478362"/>
          <a:ext cx="576000" cy="576000"/>
        </a:xfrm>
        <a:prstGeom prst="rect">
          <a:avLst/>
        </a:prstGeom>
        <a:noFill/>
      </xdr:spPr>
    </xdr:pic>
    <xdr:clientData/>
  </xdr:twoCellAnchor>
  <xdr:twoCellAnchor>
    <xdr:from>
      <xdr:col>4</xdr:col>
      <xdr:colOff>380535</xdr:colOff>
      <xdr:row>326</xdr:row>
      <xdr:rowOff>17008</xdr:rowOff>
    </xdr:from>
    <xdr:to>
      <xdr:col>4</xdr:col>
      <xdr:colOff>956535</xdr:colOff>
      <xdr:row>326</xdr:row>
      <xdr:rowOff>593008</xdr:rowOff>
    </xdr:to>
    <xdr:pic>
      <xdr:nvPicPr>
        <xdr:cNvPr id="2253" name="Picture 2252">
          <a:extLst>
            <a:ext uri="{FF2B5EF4-FFF2-40B4-BE49-F238E27FC236}">
              <a16:creationId xmlns:a16="http://schemas.microsoft.com/office/drawing/2014/main" id="{06BD53C8-5AE2-4EF1-BE05-185ECC42340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184870044"/>
          <a:ext cx="576000" cy="576000"/>
        </a:xfrm>
        <a:prstGeom prst="rect">
          <a:avLst/>
        </a:prstGeom>
      </xdr:spPr>
    </xdr:pic>
    <xdr:clientData/>
  </xdr:twoCellAnchor>
  <xdr:twoCellAnchor>
    <xdr:from>
      <xdr:col>4</xdr:col>
      <xdr:colOff>380046</xdr:colOff>
      <xdr:row>329</xdr:row>
      <xdr:rowOff>18141</xdr:rowOff>
    </xdr:from>
    <xdr:to>
      <xdr:col>4</xdr:col>
      <xdr:colOff>956046</xdr:colOff>
      <xdr:row>329</xdr:row>
      <xdr:rowOff>594141</xdr:rowOff>
    </xdr:to>
    <xdr:pic>
      <xdr:nvPicPr>
        <xdr:cNvPr id="2259" name="Picture 2258" descr="safety vests">
          <a:extLst>
            <a:ext uri="{FF2B5EF4-FFF2-40B4-BE49-F238E27FC236}">
              <a16:creationId xmlns:a16="http://schemas.microsoft.com/office/drawing/2014/main" id="{1ADA2F10-C03B-471B-B5BF-9BF94397329A}"/>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187304454"/>
          <a:ext cx="576000" cy="576000"/>
        </a:xfrm>
        <a:prstGeom prst="rect">
          <a:avLst/>
        </a:prstGeom>
        <a:noFill/>
        <a:ln>
          <a:noFill/>
        </a:ln>
      </xdr:spPr>
    </xdr:pic>
    <xdr:clientData/>
  </xdr:twoCellAnchor>
  <xdr:twoCellAnchor>
    <xdr:from>
      <xdr:col>1</xdr:col>
      <xdr:colOff>349249</xdr:colOff>
      <xdr:row>343</xdr:row>
      <xdr:rowOff>17234</xdr:rowOff>
    </xdr:from>
    <xdr:to>
      <xdr:col>1</xdr:col>
      <xdr:colOff>925249</xdr:colOff>
      <xdr:row>343</xdr:row>
      <xdr:rowOff>593234</xdr:rowOff>
    </xdr:to>
    <xdr:pic>
      <xdr:nvPicPr>
        <xdr:cNvPr id="2260" name="Picture 2259">
          <a:extLst>
            <a:ext uri="{FF2B5EF4-FFF2-40B4-BE49-F238E27FC236}">
              <a16:creationId xmlns:a16="http://schemas.microsoft.com/office/drawing/2014/main" id="{A1D93DB0-EEE0-4A86-B2D8-45AECCD27613}"/>
            </a:ext>
          </a:extLst>
        </xdr:cNvPr>
        <xdr:cNvPicPr>
          <a:picLocks/>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3931129" y="11499261"/>
          <a:ext cx="576000" cy="576000"/>
        </a:xfrm>
        <a:prstGeom prst="rect">
          <a:avLst/>
        </a:prstGeom>
      </xdr:spPr>
    </xdr:pic>
    <xdr:clientData/>
  </xdr:twoCellAnchor>
  <xdr:twoCellAnchor>
    <xdr:from>
      <xdr:col>1</xdr:col>
      <xdr:colOff>365123</xdr:colOff>
      <xdr:row>342</xdr:row>
      <xdr:rowOff>18141</xdr:rowOff>
    </xdr:from>
    <xdr:to>
      <xdr:col>1</xdr:col>
      <xdr:colOff>941123</xdr:colOff>
      <xdr:row>342</xdr:row>
      <xdr:rowOff>594141</xdr:rowOff>
    </xdr:to>
    <xdr:pic>
      <xdr:nvPicPr>
        <xdr:cNvPr id="2261" name="Picture 2260" descr="face shield">
          <a:extLst>
            <a:ext uri="{FF2B5EF4-FFF2-40B4-BE49-F238E27FC236}">
              <a16:creationId xmlns:a16="http://schemas.microsoft.com/office/drawing/2014/main" id="{D4B7BC8B-B508-4B85-8462-3040DE9E75CB}"/>
            </a:ext>
          </a:extLst>
        </xdr:cNvPr>
        <xdr:cNvPicPr>
          <a:picLocks/>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47003" y="10891849"/>
          <a:ext cx="576000" cy="576000"/>
        </a:xfrm>
        <a:prstGeom prst="rect">
          <a:avLst/>
        </a:prstGeom>
        <a:noFill/>
        <a:ln>
          <a:noFill/>
        </a:ln>
      </xdr:spPr>
    </xdr:pic>
    <xdr:clientData/>
  </xdr:twoCellAnchor>
  <xdr:twoCellAnchor>
    <xdr:from>
      <xdr:col>1</xdr:col>
      <xdr:colOff>358454</xdr:colOff>
      <xdr:row>345</xdr:row>
      <xdr:rowOff>21635</xdr:rowOff>
    </xdr:from>
    <xdr:to>
      <xdr:col>1</xdr:col>
      <xdr:colOff>934454</xdr:colOff>
      <xdr:row>345</xdr:row>
      <xdr:rowOff>597635</xdr:rowOff>
    </xdr:to>
    <xdr:pic>
      <xdr:nvPicPr>
        <xdr:cNvPr id="2262" name="Picture 2261">
          <a:extLst>
            <a:ext uri="{FF2B5EF4-FFF2-40B4-BE49-F238E27FC236}">
              <a16:creationId xmlns:a16="http://schemas.microsoft.com/office/drawing/2014/main" id="{ABAFB2CB-3D02-4C8C-BF79-257E1FE41212}"/>
            </a:ext>
          </a:extLst>
        </xdr:cNvPr>
        <xdr:cNvPicPr>
          <a:picLocks noChangeAspect="1"/>
        </xdr:cNvPicPr>
      </xdr:nvPicPr>
      <xdr:blipFill>
        <a:blip xmlns:r="http://schemas.openxmlformats.org/officeDocument/2006/relationships" r:embed="rId11"/>
        <a:stretch>
          <a:fillRect/>
        </a:stretch>
      </xdr:blipFill>
      <xdr:spPr>
        <a:xfrm>
          <a:off x="3940334" y="12720301"/>
          <a:ext cx="576000" cy="576000"/>
        </a:xfrm>
        <a:prstGeom prst="rect">
          <a:avLst/>
        </a:prstGeom>
      </xdr:spPr>
    </xdr:pic>
    <xdr:clientData/>
  </xdr:twoCellAnchor>
  <xdr:twoCellAnchor>
    <xdr:from>
      <xdr:col>1</xdr:col>
      <xdr:colOff>368676</xdr:colOff>
      <xdr:row>344</xdr:row>
      <xdr:rowOff>23131</xdr:rowOff>
    </xdr:from>
    <xdr:to>
      <xdr:col>1</xdr:col>
      <xdr:colOff>944676</xdr:colOff>
      <xdr:row>344</xdr:row>
      <xdr:rowOff>599131</xdr:rowOff>
    </xdr:to>
    <xdr:pic>
      <xdr:nvPicPr>
        <xdr:cNvPr id="2263" name="Picture 2262">
          <a:extLst>
            <a:ext uri="{FF2B5EF4-FFF2-40B4-BE49-F238E27FC236}">
              <a16:creationId xmlns:a16="http://schemas.microsoft.com/office/drawing/2014/main" id="{4A411E5C-7BE5-496A-A7FD-0D6DBDBBA83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3950556" y="12113478"/>
          <a:ext cx="576000" cy="576000"/>
        </a:xfrm>
        <a:prstGeom prst="rect">
          <a:avLst/>
        </a:prstGeom>
        <a:noFill/>
        <a:ln>
          <a:noFill/>
        </a:ln>
      </xdr:spPr>
    </xdr:pic>
    <xdr:clientData/>
  </xdr:twoCellAnchor>
  <xdr:twoCellAnchor>
    <xdr:from>
      <xdr:col>1</xdr:col>
      <xdr:colOff>356055</xdr:colOff>
      <xdr:row>347</xdr:row>
      <xdr:rowOff>17235</xdr:rowOff>
    </xdr:from>
    <xdr:to>
      <xdr:col>1</xdr:col>
      <xdr:colOff>932212</xdr:colOff>
      <xdr:row>347</xdr:row>
      <xdr:rowOff>593235</xdr:rowOff>
    </xdr:to>
    <xdr:pic>
      <xdr:nvPicPr>
        <xdr:cNvPr id="2264" name="Picture 2263">
          <a:extLst>
            <a:ext uri="{FF2B5EF4-FFF2-40B4-BE49-F238E27FC236}">
              <a16:creationId xmlns:a16="http://schemas.microsoft.com/office/drawing/2014/main" id="{98BDC384-2A65-42E9-B887-6D3EFEF082F3}"/>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rightnessContrast bright="7000"/>
                  </a14:imgEffect>
                </a14:imgLayer>
              </a14:imgProps>
            </a:ext>
          </a:extLst>
        </a:blip>
        <a:stretch>
          <a:fillRect/>
        </a:stretch>
      </xdr:blipFill>
      <xdr:spPr>
        <a:xfrm>
          <a:off x="3937935" y="13932540"/>
          <a:ext cx="576157" cy="576000"/>
        </a:xfrm>
        <a:prstGeom prst="rect">
          <a:avLst/>
        </a:prstGeom>
      </xdr:spPr>
    </xdr:pic>
    <xdr:clientData/>
  </xdr:twoCellAnchor>
  <xdr:twoCellAnchor>
    <xdr:from>
      <xdr:col>1</xdr:col>
      <xdr:colOff>354985</xdr:colOff>
      <xdr:row>346</xdr:row>
      <xdr:rowOff>17236</xdr:rowOff>
    </xdr:from>
    <xdr:to>
      <xdr:col>1</xdr:col>
      <xdr:colOff>930985</xdr:colOff>
      <xdr:row>346</xdr:row>
      <xdr:rowOff>593236</xdr:rowOff>
    </xdr:to>
    <xdr:pic>
      <xdr:nvPicPr>
        <xdr:cNvPr id="2265" name="Picture 2264">
          <a:extLst>
            <a:ext uri="{FF2B5EF4-FFF2-40B4-BE49-F238E27FC236}">
              <a16:creationId xmlns:a16="http://schemas.microsoft.com/office/drawing/2014/main" id="{3C72FFFE-030E-49F2-B8B2-FB37253CF34D}"/>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rightnessContrast bright="10000"/>
                  </a14:imgEffect>
                </a14:imgLayer>
              </a14:imgProps>
            </a:ext>
          </a:extLst>
        </a:blip>
        <a:stretch>
          <a:fillRect/>
        </a:stretch>
      </xdr:blipFill>
      <xdr:spPr>
        <a:xfrm>
          <a:off x="3936865" y="13324221"/>
          <a:ext cx="576000" cy="576000"/>
        </a:xfrm>
        <a:prstGeom prst="rect">
          <a:avLst/>
        </a:prstGeom>
      </xdr:spPr>
    </xdr:pic>
    <xdr:clientData/>
  </xdr:twoCellAnchor>
  <xdr:twoCellAnchor>
    <xdr:from>
      <xdr:col>1</xdr:col>
      <xdr:colOff>363698</xdr:colOff>
      <xdr:row>349</xdr:row>
      <xdr:rowOff>17690</xdr:rowOff>
    </xdr:from>
    <xdr:to>
      <xdr:col>1</xdr:col>
      <xdr:colOff>939698</xdr:colOff>
      <xdr:row>349</xdr:row>
      <xdr:rowOff>593690</xdr:rowOff>
    </xdr:to>
    <xdr:pic>
      <xdr:nvPicPr>
        <xdr:cNvPr id="2266" name="Picture 2265">
          <a:extLst>
            <a:ext uri="{FF2B5EF4-FFF2-40B4-BE49-F238E27FC236}">
              <a16:creationId xmlns:a16="http://schemas.microsoft.com/office/drawing/2014/main" id="{6D587A30-6F8B-469E-9674-5E5FCD1D2F0B}"/>
            </a:ext>
          </a:extLst>
        </xdr:cNvPr>
        <xdr:cNvPicPr>
          <a:picLocks noChangeAspect="1"/>
        </xdr:cNvPicPr>
      </xdr:nvPicPr>
      <xdr:blipFill>
        <a:blip xmlns:r="http://schemas.openxmlformats.org/officeDocument/2006/relationships" r:embed="rId31"/>
        <a:stretch>
          <a:fillRect/>
        </a:stretch>
      </xdr:blipFill>
      <xdr:spPr>
        <a:xfrm>
          <a:off x="3945578" y="15149633"/>
          <a:ext cx="576000" cy="576000"/>
        </a:xfrm>
        <a:prstGeom prst="rect">
          <a:avLst/>
        </a:prstGeom>
      </xdr:spPr>
    </xdr:pic>
    <xdr:clientData/>
  </xdr:twoCellAnchor>
  <xdr:twoCellAnchor>
    <xdr:from>
      <xdr:col>1</xdr:col>
      <xdr:colOff>358776</xdr:colOff>
      <xdr:row>348</xdr:row>
      <xdr:rowOff>16328</xdr:rowOff>
    </xdr:from>
    <xdr:to>
      <xdr:col>1</xdr:col>
      <xdr:colOff>933957</xdr:colOff>
      <xdr:row>348</xdr:row>
      <xdr:rowOff>592328</xdr:rowOff>
    </xdr:to>
    <xdr:pic>
      <xdr:nvPicPr>
        <xdr:cNvPr id="2267" name="Picture 2266">
          <a:extLst>
            <a:ext uri="{FF2B5EF4-FFF2-40B4-BE49-F238E27FC236}">
              <a16:creationId xmlns:a16="http://schemas.microsoft.com/office/drawing/2014/main" id="{03ED4744-1242-4CB9-95AE-4C7DB94894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40656" y="14539952"/>
          <a:ext cx="575181" cy="576000"/>
        </a:xfrm>
        <a:prstGeom prst="rect">
          <a:avLst/>
        </a:prstGeom>
      </xdr:spPr>
    </xdr:pic>
    <xdr:clientData/>
  </xdr:twoCellAnchor>
  <xdr:twoCellAnchor>
    <xdr:from>
      <xdr:col>1</xdr:col>
      <xdr:colOff>363698</xdr:colOff>
      <xdr:row>350</xdr:row>
      <xdr:rowOff>17690</xdr:rowOff>
    </xdr:from>
    <xdr:to>
      <xdr:col>1</xdr:col>
      <xdr:colOff>939698</xdr:colOff>
      <xdr:row>350</xdr:row>
      <xdr:rowOff>593690</xdr:rowOff>
    </xdr:to>
    <xdr:pic>
      <xdr:nvPicPr>
        <xdr:cNvPr id="2268" name="Picture 2267">
          <a:extLst>
            <a:ext uri="{FF2B5EF4-FFF2-40B4-BE49-F238E27FC236}">
              <a16:creationId xmlns:a16="http://schemas.microsoft.com/office/drawing/2014/main" id="{6DCE8CD1-96B7-44B1-9B37-41122086C840}"/>
            </a:ext>
          </a:extLst>
        </xdr:cNvPr>
        <xdr:cNvPicPr>
          <a:picLocks noChangeAspect="1"/>
        </xdr:cNvPicPr>
      </xdr:nvPicPr>
      <xdr:blipFill>
        <a:blip xmlns:r="http://schemas.openxmlformats.org/officeDocument/2006/relationships" r:embed="rId31"/>
        <a:stretch>
          <a:fillRect/>
        </a:stretch>
      </xdr:blipFill>
      <xdr:spPr>
        <a:xfrm>
          <a:off x="3945578" y="15757953"/>
          <a:ext cx="576000" cy="576000"/>
        </a:xfrm>
        <a:prstGeom prst="rect">
          <a:avLst/>
        </a:prstGeom>
      </xdr:spPr>
    </xdr:pic>
    <xdr:clientData/>
  </xdr:twoCellAnchor>
  <xdr:twoCellAnchor>
    <xdr:from>
      <xdr:col>1</xdr:col>
      <xdr:colOff>376921</xdr:colOff>
      <xdr:row>353</xdr:row>
      <xdr:rowOff>12108</xdr:rowOff>
    </xdr:from>
    <xdr:to>
      <xdr:col>1</xdr:col>
      <xdr:colOff>951993</xdr:colOff>
      <xdr:row>353</xdr:row>
      <xdr:rowOff>588108</xdr:rowOff>
    </xdr:to>
    <xdr:pic>
      <xdr:nvPicPr>
        <xdr:cNvPr id="2269" name="Picture 2268">
          <a:extLst>
            <a:ext uri="{FF2B5EF4-FFF2-40B4-BE49-F238E27FC236}">
              <a16:creationId xmlns:a16="http://schemas.microsoft.com/office/drawing/2014/main" id="{DA5E68B9-3F14-4EA2-BAB9-CB9093B15C7D}"/>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l="7586" t="7558" r="6373" b="8421"/>
        <a:stretch/>
      </xdr:blipFill>
      <xdr:spPr bwMode="auto">
        <a:xfrm>
          <a:off x="3958801" y="17577329"/>
          <a:ext cx="575072" cy="576000"/>
        </a:xfrm>
        <a:prstGeom prst="rect">
          <a:avLst/>
        </a:prstGeom>
        <a:noFill/>
      </xdr:spPr>
    </xdr:pic>
    <xdr:clientData/>
  </xdr:twoCellAnchor>
  <xdr:twoCellAnchor>
    <xdr:from>
      <xdr:col>1</xdr:col>
      <xdr:colOff>366796</xdr:colOff>
      <xdr:row>352</xdr:row>
      <xdr:rowOff>22676</xdr:rowOff>
    </xdr:from>
    <xdr:to>
      <xdr:col>1</xdr:col>
      <xdr:colOff>942796</xdr:colOff>
      <xdr:row>352</xdr:row>
      <xdr:rowOff>598676</xdr:rowOff>
    </xdr:to>
    <xdr:pic>
      <xdr:nvPicPr>
        <xdr:cNvPr id="2270" name="Picture 2269">
          <a:extLst>
            <a:ext uri="{FF2B5EF4-FFF2-40B4-BE49-F238E27FC236}">
              <a16:creationId xmlns:a16="http://schemas.microsoft.com/office/drawing/2014/main" id="{473F2E69-0A6C-4A07-88FC-DF3E3E5E8B53}"/>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6979577"/>
          <a:ext cx="576000" cy="576000"/>
        </a:xfrm>
        <a:prstGeom prst="rect">
          <a:avLst/>
        </a:prstGeom>
        <a:noFill/>
      </xdr:spPr>
    </xdr:pic>
    <xdr:clientData/>
  </xdr:twoCellAnchor>
  <xdr:twoCellAnchor>
    <xdr:from>
      <xdr:col>1</xdr:col>
      <xdr:colOff>366796</xdr:colOff>
      <xdr:row>351</xdr:row>
      <xdr:rowOff>22676</xdr:rowOff>
    </xdr:from>
    <xdr:to>
      <xdr:col>1</xdr:col>
      <xdr:colOff>942796</xdr:colOff>
      <xdr:row>351</xdr:row>
      <xdr:rowOff>598676</xdr:rowOff>
    </xdr:to>
    <xdr:pic>
      <xdr:nvPicPr>
        <xdr:cNvPr id="2271" name="Picture 2270">
          <a:extLst>
            <a:ext uri="{FF2B5EF4-FFF2-40B4-BE49-F238E27FC236}">
              <a16:creationId xmlns:a16="http://schemas.microsoft.com/office/drawing/2014/main" id="{2567A9FA-79B0-432D-9F70-7B1D4BC1B967}"/>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48676" y="16371258"/>
          <a:ext cx="576000" cy="576000"/>
        </a:xfrm>
        <a:prstGeom prst="rect">
          <a:avLst/>
        </a:prstGeom>
        <a:noFill/>
      </xdr:spPr>
    </xdr:pic>
    <xdr:clientData/>
  </xdr:twoCellAnchor>
  <xdr:twoCellAnchor>
    <xdr:from>
      <xdr:col>1</xdr:col>
      <xdr:colOff>385981</xdr:colOff>
      <xdr:row>355</xdr:row>
      <xdr:rowOff>21543</xdr:rowOff>
    </xdr:from>
    <xdr:to>
      <xdr:col>1</xdr:col>
      <xdr:colOff>961981</xdr:colOff>
      <xdr:row>355</xdr:row>
      <xdr:rowOff>597543</xdr:rowOff>
    </xdr:to>
    <xdr:pic>
      <xdr:nvPicPr>
        <xdr:cNvPr id="2272" name="Picture 2271" descr="hair protection">
          <a:extLst>
            <a:ext uri="{FF2B5EF4-FFF2-40B4-BE49-F238E27FC236}">
              <a16:creationId xmlns:a16="http://schemas.microsoft.com/office/drawing/2014/main" id="{5E995E10-55EC-49A6-99A4-4693245403ED}"/>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7861" y="18803402"/>
          <a:ext cx="576000" cy="576000"/>
        </a:xfrm>
        <a:prstGeom prst="rect">
          <a:avLst/>
        </a:prstGeom>
        <a:noFill/>
        <a:ln>
          <a:noFill/>
        </a:ln>
      </xdr:spPr>
    </xdr:pic>
    <xdr:clientData/>
  </xdr:twoCellAnchor>
  <xdr:twoCellAnchor>
    <xdr:from>
      <xdr:col>1</xdr:col>
      <xdr:colOff>378200</xdr:colOff>
      <xdr:row>354</xdr:row>
      <xdr:rowOff>15874</xdr:rowOff>
    </xdr:from>
    <xdr:to>
      <xdr:col>1</xdr:col>
      <xdr:colOff>954200</xdr:colOff>
      <xdr:row>354</xdr:row>
      <xdr:rowOff>591874</xdr:rowOff>
    </xdr:to>
    <xdr:pic>
      <xdr:nvPicPr>
        <xdr:cNvPr id="2273" name="Picture 2272">
          <a:extLst>
            <a:ext uri="{FF2B5EF4-FFF2-40B4-BE49-F238E27FC236}">
              <a16:creationId xmlns:a16="http://schemas.microsoft.com/office/drawing/2014/main" id="{CC8DD79C-207C-425B-9E17-1371E87705AF}"/>
            </a:ext>
          </a:extLst>
        </xdr:cNvPr>
        <xdr:cNvPicPr>
          <a:picLocks noChangeAspect="1"/>
        </xdr:cNvPicPr>
      </xdr:nvPicPr>
      <xdr:blipFill>
        <a:blip xmlns:r="http://schemas.openxmlformats.org/officeDocument/2006/relationships" r:embed="rId14"/>
        <a:stretch>
          <a:fillRect/>
        </a:stretch>
      </xdr:blipFill>
      <xdr:spPr>
        <a:xfrm>
          <a:off x="3960080" y="18189414"/>
          <a:ext cx="576000" cy="576000"/>
        </a:xfrm>
        <a:prstGeom prst="rect">
          <a:avLst/>
        </a:prstGeom>
      </xdr:spPr>
    </xdr:pic>
    <xdr:clientData/>
  </xdr:twoCellAnchor>
  <xdr:twoCellAnchor>
    <xdr:from>
      <xdr:col>1</xdr:col>
      <xdr:colOff>387002</xdr:colOff>
      <xdr:row>357</xdr:row>
      <xdr:rowOff>18540</xdr:rowOff>
    </xdr:from>
    <xdr:to>
      <xdr:col>1</xdr:col>
      <xdr:colOff>963002</xdr:colOff>
      <xdr:row>357</xdr:row>
      <xdr:rowOff>594540</xdr:rowOff>
    </xdr:to>
    <xdr:pic>
      <xdr:nvPicPr>
        <xdr:cNvPr id="2274" name="Picture 2273">
          <a:extLst>
            <a:ext uri="{FF2B5EF4-FFF2-40B4-BE49-F238E27FC236}">
              <a16:creationId xmlns:a16="http://schemas.microsoft.com/office/drawing/2014/main" id="{AB10BE02-A001-47BF-8DAC-EDA9B31911DD}"/>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8882" y="20017038"/>
          <a:ext cx="576000" cy="576000"/>
        </a:xfrm>
        <a:prstGeom prst="rect">
          <a:avLst/>
        </a:prstGeom>
        <a:noFill/>
      </xdr:spPr>
    </xdr:pic>
    <xdr:clientData/>
  </xdr:twoCellAnchor>
  <xdr:twoCellAnchor>
    <xdr:from>
      <xdr:col>1</xdr:col>
      <xdr:colOff>382711</xdr:colOff>
      <xdr:row>356</xdr:row>
      <xdr:rowOff>23810</xdr:rowOff>
    </xdr:from>
    <xdr:to>
      <xdr:col>1</xdr:col>
      <xdr:colOff>958711</xdr:colOff>
      <xdr:row>356</xdr:row>
      <xdr:rowOff>599810</xdr:rowOff>
    </xdr:to>
    <xdr:pic>
      <xdr:nvPicPr>
        <xdr:cNvPr id="2275" name="Picture 2274" descr="head protection">
          <a:extLst>
            <a:ext uri="{FF2B5EF4-FFF2-40B4-BE49-F238E27FC236}">
              <a16:creationId xmlns:a16="http://schemas.microsoft.com/office/drawing/2014/main" id="{C1593B56-0185-47B6-B57F-473B96D3F28D}"/>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3964591" y="19413989"/>
          <a:ext cx="576000" cy="576000"/>
        </a:xfrm>
        <a:prstGeom prst="rect">
          <a:avLst/>
        </a:prstGeom>
        <a:noFill/>
        <a:ln>
          <a:noFill/>
        </a:ln>
      </xdr:spPr>
    </xdr:pic>
    <xdr:clientData/>
  </xdr:twoCellAnchor>
  <xdr:twoCellAnchor>
    <xdr:from>
      <xdr:col>1</xdr:col>
      <xdr:colOff>385942</xdr:colOff>
      <xdr:row>359</xdr:row>
      <xdr:rowOff>20407</xdr:rowOff>
    </xdr:from>
    <xdr:to>
      <xdr:col>1</xdr:col>
      <xdr:colOff>961942</xdr:colOff>
      <xdr:row>359</xdr:row>
      <xdr:rowOff>596407</xdr:rowOff>
    </xdr:to>
    <xdr:pic>
      <xdr:nvPicPr>
        <xdr:cNvPr id="2276" name="Picture 2275">
          <a:extLst>
            <a:ext uri="{FF2B5EF4-FFF2-40B4-BE49-F238E27FC236}">
              <a16:creationId xmlns:a16="http://schemas.microsoft.com/office/drawing/2014/main" id="{4B4EC13B-39A6-45C8-8B7E-3FCC2F5FBC1B}"/>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3967822" y="21235544"/>
          <a:ext cx="576000" cy="576000"/>
        </a:xfrm>
        <a:prstGeom prst="rect">
          <a:avLst/>
        </a:prstGeom>
        <a:noFill/>
        <a:ln>
          <a:noFill/>
        </a:ln>
      </xdr:spPr>
    </xdr:pic>
    <xdr:clientData/>
  </xdr:twoCellAnchor>
  <xdr:twoCellAnchor>
    <xdr:from>
      <xdr:col>1</xdr:col>
      <xdr:colOff>388649</xdr:colOff>
      <xdr:row>358</xdr:row>
      <xdr:rowOff>20411</xdr:rowOff>
    </xdr:from>
    <xdr:to>
      <xdr:col>1</xdr:col>
      <xdr:colOff>964649</xdr:colOff>
      <xdr:row>358</xdr:row>
      <xdr:rowOff>595416</xdr:rowOff>
    </xdr:to>
    <xdr:pic>
      <xdr:nvPicPr>
        <xdr:cNvPr id="2277" name="Picture 2276">
          <a:extLst>
            <a:ext uri="{FF2B5EF4-FFF2-40B4-BE49-F238E27FC236}">
              <a16:creationId xmlns:a16="http://schemas.microsoft.com/office/drawing/2014/main" id="{1FFE2851-93BC-47A6-A733-7959E3E09C7E}"/>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970529" y="20627228"/>
          <a:ext cx="576000" cy="575005"/>
        </a:xfrm>
        <a:prstGeom prst="rect">
          <a:avLst/>
        </a:prstGeom>
      </xdr:spPr>
    </xdr:pic>
    <xdr:clientData/>
  </xdr:twoCellAnchor>
  <xdr:twoCellAnchor>
    <xdr:from>
      <xdr:col>1</xdr:col>
      <xdr:colOff>380046</xdr:colOff>
      <xdr:row>361</xdr:row>
      <xdr:rowOff>18141</xdr:rowOff>
    </xdr:from>
    <xdr:to>
      <xdr:col>1</xdr:col>
      <xdr:colOff>956046</xdr:colOff>
      <xdr:row>361</xdr:row>
      <xdr:rowOff>594141</xdr:rowOff>
    </xdr:to>
    <xdr:pic>
      <xdr:nvPicPr>
        <xdr:cNvPr id="2278" name="Picture 2277" descr="safety vests">
          <a:extLst>
            <a:ext uri="{FF2B5EF4-FFF2-40B4-BE49-F238E27FC236}">
              <a16:creationId xmlns:a16="http://schemas.microsoft.com/office/drawing/2014/main" id="{C470A9F3-AA02-4FFE-ABDF-BD9A4A8B8E47}"/>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3961926" y="22449916"/>
          <a:ext cx="576000" cy="576000"/>
        </a:xfrm>
        <a:prstGeom prst="rect">
          <a:avLst/>
        </a:prstGeom>
        <a:noFill/>
        <a:ln>
          <a:noFill/>
        </a:ln>
      </xdr:spPr>
    </xdr:pic>
    <xdr:clientData/>
  </xdr:twoCellAnchor>
  <xdr:twoCellAnchor>
    <xdr:from>
      <xdr:col>1</xdr:col>
      <xdr:colOff>380202</xdr:colOff>
      <xdr:row>360</xdr:row>
      <xdr:rowOff>17010</xdr:rowOff>
    </xdr:from>
    <xdr:to>
      <xdr:col>1</xdr:col>
      <xdr:colOff>956202</xdr:colOff>
      <xdr:row>360</xdr:row>
      <xdr:rowOff>593010</xdr:rowOff>
    </xdr:to>
    <xdr:pic>
      <xdr:nvPicPr>
        <xdr:cNvPr id="2279" name="Picture 2278">
          <a:extLst>
            <a:ext uri="{FF2B5EF4-FFF2-40B4-BE49-F238E27FC236}">
              <a16:creationId xmlns:a16="http://schemas.microsoft.com/office/drawing/2014/main" id="{666E9580-85B3-4415-90BA-41C8843DE845}"/>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rightnessContrast bright="29000"/>
                  </a14:imgEffect>
                </a14:imgLayer>
              </a14:imgProps>
            </a:ext>
          </a:extLst>
        </a:blip>
        <a:stretch>
          <a:fillRect/>
        </a:stretch>
      </xdr:blipFill>
      <xdr:spPr>
        <a:xfrm>
          <a:off x="3962082" y="21840466"/>
          <a:ext cx="576000" cy="576000"/>
        </a:xfrm>
        <a:prstGeom prst="rect">
          <a:avLst/>
        </a:prstGeom>
      </xdr:spPr>
    </xdr:pic>
    <xdr:clientData/>
  </xdr:twoCellAnchor>
  <xdr:twoCellAnchor>
    <xdr:from>
      <xdr:col>1</xdr:col>
      <xdr:colOff>457020</xdr:colOff>
      <xdr:row>364</xdr:row>
      <xdr:rowOff>30345</xdr:rowOff>
    </xdr:from>
    <xdr:to>
      <xdr:col>1</xdr:col>
      <xdr:colOff>889020</xdr:colOff>
      <xdr:row>364</xdr:row>
      <xdr:rowOff>452820</xdr:rowOff>
    </xdr:to>
    <xdr:pic>
      <xdr:nvPicPr>
        <xdr:cNvPr id="2280" name="Picture 2279">
          <a:extLst>
            <a:ext uri="{FF2B5EF4-FFF2-40B4-BE49-F238E27FC236}">
              <a16:creationId xmlns:a16="http://schemas.microsoft.com/office/drawing/2014/main" id="{B08FE8F4-378A-497A-A1A4-2C18B151108D}"/>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038900" y="24287078"/>
          <a:ext cx="432000" cy="422475"/>
        </a:xfrm>
        <a:prstGeom prst="rect">
          <a:avLst/>
        </a:prstGeom>
        <a:ln>
          <a:solidFill>
            <a:schemeClr val="tx1"/>
          </a:solidFill>
        </a:ln>
      </xdr:spPr>
    </xdr:pic>
    <xdr:clientData/>
  </xdr:twoCellAnchor>
  <xdr:twoCellAnchor>
    <xdr:from>
      <xdr:col>1</xdr:col>
      <xdr:colOff>404994</xdr:colOff>
      <xdr:row>364</xdr:row>
      <xdr:rowOff>30344</xdr:rowOff>
    </xdr:from>
    <xdr:to>
      <xdr:col>1</xdr:col>
      <xdr:colOff>944994</xdr:colOff>
      <xdr:row>364</xdr:row>
      <xdr:rowOff>570344</xdr:rowOff>
    </xdr:to>
    <xdr:pic>
      <xdr:nvPicPr>
        <xdr:cNvPr id="2281" name="Picture 2280">
          <a:extLst>
            <a:ext uri="{FF2B5EF4-FFF2-40B4-BE49-F238E27FC236}">
              <a16:creationId xmlns:a16="http://schemas.microsoft.com/office/drawing/2014/main" id="{381D7E01-BB92-4279-A5BD-5ECC37ADC206}"/>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986874" y="24287077"/>
          <a:ext cx="540000" cy="540000"/>
        </a:xfrm>
        <a:prstGeom prst="rect">
          <a:avLst/>
        </a:prstGeom>
        <a:ln>
          <a:solidFill>
            <a:schemeClr val="tx1"/>
          </a:solidFill>
        </a:ln>
      </xdr:spPr>
    </xdr:pic>
    <xdr:clientData/>
  </xdr:twoCellAnchor>
  <xdr:twoCellAnchor>
    <xdr:from>
      <xdr:col>1</xdr:col>
      <xdr:colOff>379338</xdr:colOff>
      <xdr:row>363</xdr:row>
      <xdr:rowOff>17007</xdr:rowOff>
    </xdr:from>
    <xdr:to>
      <xdr:col>1</xdr:col>
      <xdr:colOff>955338</xdr:colOff>
      <xdr:row>363</xdr:row>
      <xdr:rowOff>593007</xdr:rowOff>
    </xdr:to>
    <xdr:pic>
      <xdr:nvPicPr>
        <xdr:cNvPr id="2282" name="Picture 2281">
          <a:extLst>
            <a:ext uri="{FF2B5EF4-FFF2-40B4-BE49-F238E27FC236}">
              <a16:creationId xmlns:a16="http://schemas.microsoft.com/office/drawing/2014/main" id="{B0DBE18C-8B1E-4398-B155-63B808F1B83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961218" y="23665421"/>
          <a:ext cx="576000" cy="576000"/>
        </a:xfrm>
        <a:prstGeom prst="rect">
          <a:avLst/>
        </a:prstGeom>
        <a:noFill/>
      </xdr:spPr>
    </xdr:pic>
    <xdr:clientData/>
  </xdr:twoCellAnchor>
  <xdr:twoCellAnchor>
    <xdr:from>
      <xdr:col>1</xdr:col>
      <xdr:colOff>380535</xdr:colOff>
      <xdr:row>362</xdr:row>
      <xdr:rowOff>17008</xdr:rowOff>
    </xdr:from>
    <xdr:to>
      <xdr:col>1</xdr:col>
      <xdr:colOff>956535</xdr:colOff>
      <xdr:row>362</xdr:row>
      <xdr:rowOff>593008</xdr:rowOff>
    </xdr:to>
    <xdr:pic>
      <xdr:nvPicPr>
        <xdr:cNvPr id="2283" name="Picture 2282">
          <a:extLst>
            <a:ext uri="{FF2B5EF4-FFF2-40B4-BE49-F238E27FC236}">
              <a16:creationId xmlns:a16="http://schemas.microsoft.com/office/drawing/2014/main" id="{D92736AC-31B1-4DD9-97A4-18A2E1030629}"/>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flipH="1">
          <a:off x="3962415" y="23057103"/>
          <a:ext cx="576000" cy="576000"/>
        </a:xfrm>
        <a:prstGeom prst="rect">
          <a:avLst/>
        </a:prstGeom>
      </xdr:spPr>
    </xdr:pic>
    <xdr:clientData/>
  </xdr:twoCellAnchor>
  <xdr:twoCellAnchor>
    <xdr:from>
      <xdr:col>1</xdr:col>
      <xdr:colOff>372916</xdr:colOff>
      <xdr:row>341</xdr:row>
      <xdr:rowOff>19050</xdr:rowOff>
    </xdr:from>
    <xdr:to>
      <xdr:col>1</xdr:col>
      <xdr:colOff>948916</xdr:colOff>
      <xdr:row>341</xdr:row>
      <xdr:rowOff>595050</xdr:rowOff>
    </xdr:to>
    <xdr:pic>
      <xdr:nvPicPr>
        <xdr:cNvPr id="2284" name="Picture 2283">
          <a:extLst>
            <a:ext uri="{FF2B5EF4-FFF2-40B4-BE49-F238E27FC236}">
              <a16:creationId xmlns:a16="http://schemas.microsoft.com/office/drawing/2014/main" id="{B6A02851-4155-48B8-84FB-B998355542C4}"/>
            </a:ext>
          </a:extLst>
        </xdr:cNvPr>
        <xdr:cNvPicPr>
          <a:picLocks noChangeAspect="1"/>
        </xdr:cNvPicPr>
      </xdr:nvPicPr>
      <xdr:blipFill>
        <a:blip xmlns:r="http://schemas.openxmlformats.org/officeDocument/2006/relationships" r:embed="rId37"/>
        <a:stretch>
          <a:fillRect/>
        </a:stretch>
      </xdr:blipFill>
      <xdr:spPr>
        <a:xfrm>
          <a:off x="3954796" y="10284439"/>
          <a:ext cx="576000" cy="576000"/>
        </a:xfrm>
        <a:prstGeom prst="rect">
          <a:avLst/>
        </a:prstGeom>
      </xdr:spPr>
    </xdr:pic>
    <xdr:clientData/>
  </xdr:twoCellAnchor>
  <xdr:twoCellAnchor>
    <xdr:from>
      <xdr:col>1</xdr:col>
      <xdr:colOff>372462</xdr:colOff>
      <xdr:row>340</xdr:row>
      <xdr:rowOff>23583</xdr:rowOff>
    </xdr:from>
    <xdr:to>
      <xdr:col>1</xdr:col>
      <xdr:colOff>948462</xdr:colOff>
      <xdr:row>340</xdr:row>
      <xdr:rowOff>599583</xdr:rowOff>
    </xdr:to>
    <xdr:pic>
      <xdr:nvPicPr>
        <xdr:cNvPr id="2285" name="Picture 2284">
          <a:extLst>
            <a:ext uri="{FF2B5EF4-FFF2-40B4-BE49-F238E27FC236}">
              <a16:creationId xmlns:a16="http://schemas.microsoft.com/office/drawing/2014/main" id="{490FA21D-B57C-4662-B1AF-0E38F6F808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3954342" y="9680652"/>
          <a:ext cx="576000" cy="576000"/>
        </a:xfrm>
        <a:prstGeom prst="rect">
          <a:avLst/>
        </a:prstGeom>
      </xdr:spPr>
    </xdr:pic>
    <xdr:clientData/>
  </xdr:twoCellAnchor>
  <xdr:twoCellAnchor>
    <xdr:from>
      <xdr:col>1</xdr:col>
      <xdr:colOff>363853</xdr:colOff>
      <xdr:row>339</xdr:row>
      <xdr:rowOff>15465</xdr:rowOff>
    </xdr:from>
    <xdr:to>
      <xdr:col>1</xdr:col>
      <xdr:colOff>939853</xdr:colOff>
      <xdr:row>339</xdr:row>
      <xdr:rowOff>591465</xdr:rowOff>
    </xdr:to>
    <xdr:pic>
      <xdr:nvPicPr>
        <xdr:cNvPr id="2286" name="Picture 2285">
          <a:extLst>
            <a:ext uri="{FF2B5EF4-FFF2-40B4-BE49-F238E27FC236}">
              <a16:creationId xmlns:a16="http://schemas.microsoft.com/office/drawing/2014/main" id="{11F732EB-72FC-42FD-8341-90AB3FD65AB3}"/>
            </a:ext>
          </a:extLst>
        </xdr:cNvPr>
        <xdr:cNvPicPr>
          <a:picLocks noChangeAspect="1"/>
        </xdr:cNvPicPr>
      </xdr:nvPicPr>
      <xdr:blipFill>
        <a:blip xmlns:r="http://schemas.openxmlformats.org/officeDocument/2006/relationships" r:embed="rId9"/>
        <a:stretch>
          <a:fillRect/>
        </a:stretch>
      </xdr:blipFill>
      <xdr:spPr>
        <a:xfrm>
          <a:off x="603979" y="11497492"/>
          <a:ext cx="576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448878</xdr:colOff>
      <xdr:row>136</xdr:row>
      <xdr:rowOff>23131</xdr:rowOff>
    </xdr:from>
    <xdr:to>
      <xdr:col>9</xdr:col>
      <xdr:colOff>880878</xdr:colOff>
      <xdr:row>136</xdr:row>
      <xdr:rowOff>455131</xdr:rowOff>
    </xdr:to>
    <xdr:pic>
      <xdr:nvPicPr>
        <xdr:cNvPr id="68" name="Picture 67">
          <a:extLst>
            <a:ext uri="{FF2B5EF4-FFF2-40B4-BE49-F238E27FC236}">
              <a16:creationId xmlns:a16="http://schemas.microsoft.com/office/drawing/2014/main" id="{3A87700B-0C11-47FA-A0D5-C826D0F2369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802664" y="2492827"/>
          <a:ext cx="432000" cy="432000"/>
        </a:xfrm>
        <a:prstGeom prst="rect">
          <a:avLst/>
        </a:prstGeom>
        <a:noFill/>
        <a:ln>
          <a:noFill/>
        </a:ln>
      </xdr:spPr>
    </xdr:pic>
    <xdr:clientData/>
  </xdr:twoCellAnchor>
  <xdr:twoCellAnchor>
    <xdr:from>
      <xdr:col>9</xdr:col>
      <xdr:colOff>452664</xdr:colOff>
      <xdr:row>52</xdr:row>
      <xdr:rowOff>23584</xdr:rowOff>
    </xdr:from>
    <xdr:to>
      <xdr:col>9</xdr:col>
      <xdr:colOff>884664</xdr:colOff>
      <xdr:row>52</xdr:row>
      <xdr:rowOff>446059</xdr:rowOff>
    </xdr:to>
    <xdr:pic>
      <xdr:nvPicPr>
        <xdr:cNvPr id="69" name="Picture 68">
          <a:extLst>
            <a:ext uri="{FF2B5EF4-FFF2-40B4-BE49-F238E27FC236}">
              <a16:creationId xmlns:a16="http://schemas.microsoft.com/office/drawing/2014/main" id="{84F24628-439D-4A8A-9C0D-F554EF423EA4}"/>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806450" y="669923"/>
          <a:ext cx="432000" cy="422475"/>
        </a:xfrm>
        <a:prstGeom prst="rect">
          <a:avLst/>
        </a:prstGeom>
      </xdr:spPr>
    </xdr:pic>
    <xdr:clientData/>
  </xdr:twoCellAnchor>
  <xdr:twoCellAnchor>
    <xdr:from>
      <xdr:col>9</xdr:col>
      <xdr:colOff>425449</xdr:colOff>
      <xdr:row>115</xdr:row>
      <xdr:rowOff>17235</xdr:rowOff>
    </xdr:from>
    <xdr:to>
      <xdr:col>9</xdr:col>
      <xdr:colOff>859521</xdr:colOff>
      <xdr:row>115</xdr:row>
      <xdr:rowOff>439710</xdr:rowOff>
    </xdr:to>
    <xdr:pic>
      <xdr:nvPicPr>
        <xdr:cNvPr id="70" name="Picture 69">
          <a:extLst>
            <a:ext uri="{FF2B5EF4-FFF2-40B4-BE49-F238E27FC236}">
              <a16:creationId xmlns:a16="http://schemas.microsoft.com/office/drawing/2014/main" id="{D192561B-B3FD-4851-9B3C-ECAD0E9C8B75}"/>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779235" y="2031092"/>
          <a:ext cx="434072" cy="422475"/>
        </a:xfrm>
        <a:prstGeom prst="rect">
          <a:avLst/>
        </a:prstGeom>
      </xdr:spPr>
    </xdr:pic>
    <xdr:clientData/>
  </xdr:twoCellAnchor>
  <xdr:twoCellAnchor>
    <xdr:from>
      <xdr:col>9</xdr:col>
      <xdr:colOff>431800</xdr:colOff>
      <xdr:row>94</xdr:row>
      <xdr:rowOff>18142</xdr:rowOff>
    </xdr:from>
    <xdr:to>
      <xdr:col>9</xdr:col>
      <xdr:colOff>864078</xdr:colOff>
      <xdr:row>94</xdr:row>
      <xdr:rowOff>440617</xdr:rowOff>
    </xdr:to>
    <xdr:pic>
      <xdr:nvPicPr>
        <xdr:cNvPr id="71" name="Picture 70" descr="face shield">
          <a:extLst>
            <a:ext uri="{FF2B5EF4-FFF2-40B4-BE49-F238E27FC236}">
              <a16:creationId xmlns:a16="http://schemas.microsoft.com/office/drawing/2014/main" id="{227A32E0-9F11-405D-A7BD-AF533606AFEB}"/>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785586" y="1576160"/>
          <a:ext cx="432278" cy="422475"/>
        </a:xfrm>
        <a:prstGeom prst="rect">
          <a:avLst/>
        </a:prstGeom>
        <a:noFill/>
        <a:ln>
          <a:noFill/>
        </a:ln>
      </xdr:spPr>
    </xdr:pic>
    <xdr:clientData/>
  </xdr:twoCellAnchor>
  <xdr:twoCellAnchor>
    <xdr:from>
      <xdr:col>9</xdr:col>
      <xdr:colOff>453118</xdr:colOff>
      <xdr:row>73</xdr:row>
      <xdr:rowOff>19050</xdr:rowOff>
    </xdr:from>
    <xdr:to>
      <xdr:col>9</xdr:col>
      <xdr:colOff>885118</xdr:colOff>
      <xdr:row>73</xdr:row>
      <xdr:rowOff>451050</xdr:rowOff>
    </xdr:to>
    <xdr:pic>
      <xdr:nvPicPr>
        <xdr:cNvPr id="72" name="Picture 71">
          <a:extLst>
            <a:ext uri="{FF2B5EF4-FFF2-40B4-BE49-F238E27FC236}">
              <a16:creationId xmlns:a16="http://schemas.microsoft.com/office/drawing/2014/main" id="{B3A7FFB1-3E5C-4DC4-99C6-8192CC85769F}"/>
            </a:ext>
          </a:extLst>
        </xdr:cNvPr>
        <xdr:cNvPicPr>
          <a:picLocks noChangeAspect="1"/>
        </xdr:cNvPicPr>
      </xdr:nvPicPr>
      <xdr:blipFill>
        <a:blip xmlns:r="http://schemas.openxmlformats.org/officeDocument/2006/relationships" r:embed="rId9"/>
        <a:stretch>
          <a:fillRect/>
        </a:stretch>
      </xdr:blipFill>
      <xdr:spPr>
        <a:xfrm>
          <a:off x="806904" y="1121229"/>
          <a:ext cx="432000" cy="432000"/>
        </a:xfrm>
        <a:prstGeom prst="rect">
          <a:avLst/>
        </a:prstGeom>
      </xdr:spPr>
    </xdr:pic>
    <xdr:clientData/>
  </xdr:twoCellAnchor>
  <xdr:twoCellAnchor>
    <xdr:from>
      <xdr:col>9</xdr:col>
      <xdr:colOff>459105</xdr:colOff>
      <xdr:row>27</xdr:row>
      <xdr:rowOff>24990</xdr:rowOff>
    </xdr:from>
    <xdr:to>
      <xdr:col>9</xdr:col>
      <xdr:colOff>891105</xdr:colOff>
      <xdr:row>27</xdr:row>
      <xdr:rowOff>437940</xdr:rowOff>
    </xdr:to>
    <xdr:pic>
      <xdr:nvPicPr>
        <xdr:cNvPr id="73" name="Picture 72">
          <a:extLst>
            <a:ext uri="{FF2B5EF4-FFF2-40B4-BE49-F238E27FC236}">
              <a16:creationId xmlns:a16="http://schemas.microsoft.com/office/drawing/2014/main" id="{28280019-58E8-48D5-B98B-786E6E87F984}"/>
            </a:ext>
          </a:extLst>
        </xdr:cNvPr>
        <xdr:cNvPicPr>
          <a:picLocks noChangeAspect="1"/>
        </xdr:cNvPicPr>
      </xdr:nvPicPr>
      <xdr:blipFill>
        <a:blip xmlns:r="http://schemas.openxmlformats.org/officeDocument/2006/relationships" r:embed="rId10"/>
        <a:stretch>
          <a:fillRect/>
        </a:stretch>
      </xdr:blipFill>
      <xdr:spPr>
        <a:xfrm>
          <a:off x="812891" y="215490"/>
          <a:ext cx="432000" cy="412950"/>
        </a:xfrm>
        <a:prstGeom prst="rect">
          <a:avLst/>
        </a:prstGeom>
      </xdr:spPr>
    </xdr:pic>
    <xdr:clientData/>
  </xdr:twoCellAnchor>
  <xdr:twoCellAnchor>
    <xdr:from>
      <xdr:col>9</xdr:col>
      <xdr:colOff>442982</xdr:colOff>
      <xdr:row>205</xdr:row>
      <xdr:rowOff>16328</xdr:rowOff>
    </xdr:from>
    <xdr:to>
      <xdr:col>9</xdr:col>
      <xdr:colOff>874367</xdr:colOff>
      <xdr:row>205</xdr:row>
      <xdr:rowOff>448328</xdr:rowOff>
    </xdr:to>
    <xdr:pic>
      <xdr:nvPicPr>
        <xdr:cNvPr id="74" name="Picture 73">
          <a:extLst>
            <a:ext uri="{FF2B5EF4-FFF2-40B4-BE49-F238E27FC236}">
              <a16:creationId xmlns:a16="http://schemas.microsoft.com/office/drawing/2014/main" id="{B3C89328-15ED-4357-8A64-DD37B769923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6768" y="4309382"/>
          <a:ext cx="431385" cy="432000"/>
        </a:xfrm>
        <a:prstGeom prst="rect">
          <a:avLst/>
        </a:prstGeom>
      </xdr:spPr>
    </xdr:pic>
    <xdr:clientData/>
  </xdr:twoCellAnchor>
  <xdr:twoCellAnchor>
    <xdr:from>
      <xdr:col>9</xdr:col>
      <xdr:colOff>399596</xdr:colOff>
      <xdr:row>156</xdr:row>
      <xdr:rowOff>21636</xdr:rowOff>
    </xdr:from>
    <xdr:to>
      <xdr:col>9</xdr:col>
      <xdr:colOff>831596</xdr:colOff>
      <xdr:row>156</xdr:row>
      <xdr:rowOff>444111</xdr:rowOff>
    </xdr:to>
    <xdr:pic>
      <xdr:nvPicPr>
        <xdr:cNvPr id="75" name="Picture 74">
          <a:extLst>
            <a:ext uri="{FF2B5EF4-FFF2-40B4-BE49-F238E27FC236}">
              <a16:creationId xmlns:a16="http://schemas.microsoft.com/office/drawing/2014/main" id="{295D17D3-3841-4B1B-8453-CDF1491A0362}"/>
            </a:ext>
          </a:extLst>
        </xdr:cNvPr>
        <xdr:cNvPicPr>
          <a:picLocks noChangeAspect="1"/>
        </xdr:cNvPicPr>
      </xdr:nvPicPr>
      <xdr:blipFill>
        <a:blip xmlns:r="http://schemas.openxmlformats.org/officeDocument/2006/relationships" r:embed="rId12"/>
        <a:stretch>
          <a:fillRect/>
        </a:stretch>
      </xdr:blipFill>
      <xdr:spPr>
        <a:xfrm>
          <a:off x="753382" y="2947172"/>
          <a:ext cx="432000" cy="422475"/>
        </a:xfrm>
        <a:prstGeom prst="rect">
          <a:avLst/>
        </a:prstGeom>
      </xdr:spPr>
    </xdr:pic>
    <xdr:clientData/>
  </xdr:twoCellAnchor>
  <xdr:twoCellAnchor>
    <xdr:from>
      <xdr:col>9</xdr:col>
      <xdr:colOff>432255</xdr:colOff>
      <xdr:row>193</xdr:row>
      <xdr:rowOff>17235</xdr:rowOff>
    </xdr:from>
    <xdr:to>
      <xdr:col>9</xdr:col>
      <xdr:colOff>864372</xdr:colOff>
      <xdr:row>193</xdr:row>
      <xdr:rowOff>449235</xdr:rowOff>
    </xdr:to>
    <xdr:pic>
      <xdr:nvPicPr>
        <xdr:cNvPr id="76" name="Picture 75">
          <a:extLst>
            <a:ext uri="{FF2B5EF4-FFF2-40B4-BE49-F238E27FC236}">
              <a16:creationId xmlns:a16="http://schemas.microsoft.com/office/drawing/2014/main" id="{940BA506-116A-4AA6-818F-886B5D4AFC26}"/>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786041" y="3854449"/>
          <a:ext cx="432117" cy="432000"/>
        </a:xfrm>
        <a:prstGeom prst="rect">
          <a:avLst/>
        </a:prstGeom>
      </xdr:spPr>
    </xdr:pic>
    <xdr:clientData/>
  </xdr:twoCellAnchor>
  <xdr:twoCellAnchor>
    <xdr:from>
      <xdr:col>9</xdr:col>
      <xdr:colOff>447902</xdr:colOff>
      <xdr:row>224</xdr:row>
      <xdr:rowOff>17690</xdr:rowOff>
    </xdr:from>
    <xdr:to>
      <xdr:col>9</xdr:col>
      <xdr:colOff>879902</xdr:colOff>
      <xdr:row>224</xdr:row>
      <xdr:rowOff>439792</xdr:rowOff>
    </xdr:to>
    <xdr:pic>
      <xdr:nvPicPr>
        <xdr:cNvPr id="78" name="Picture 77">
          <a:extLst>
            <a:ext uri="{FF2B5EF4-FFF2-40B4-BE49-F238E27FC236}">
              <a16:creationId xmlns:a16="http://schemas.microsoft.com/office/drawing/2014/main" id="{853C3718-F3BF-456F-B2E9-02192FC7F987}"/>
            </a:ext>
          </a:extLst>
        </xdr:cNvPr>
        <xdr:cNvPicPr>
          <a:picLocks noChangeAspect="1"/>
        </xdr:cNvPicPr>
      </xdr:nvPicPr>
      <xdr:blipFill>
        <a:blip xmlns:r="http://schemas.openxmlformats.org/officeDocument/2006/relationships" r:embed="rId15"/>
        <a:stretch>
          <a:fillRect/>
        </a:stretch>
      </xdr:blipFill>
      <xdr:spPr>
        <a:xfrm>
          <a:off x="801688" y="4766583"/>
          <a:ext cx="432000" cy="422102"/>
        </a:xfrm>
        <a:prstGeom prst="rect">
          <a:avLst/>
        </a:prstGeom>
      </xdr:spPr>
    </xdr:pic>
    <xdr:clientData/>
  </xdr:twoCellAnchor>
  <xdr:twoCellAnchor>
    <xdr:from>
      <xdr:col>9</xdr:col>
      <xdr:colOff>447901</xdr:colOff>
      <xdr:row>235</xdr:row>
      <xdr:rowOff>20411</xdr:rowOff>
    </xdr:from>
    <xdr:to>
      <xdr:col>9</xdr:col>
      <xdr:colOff>879901</xdr:colOff>
      <xdr:row>235</xdr:row>
      <xdr:rowOff>452038</xdr:rowOff>
    </xdr:to>
    <xdr:pic>
      <xdr:nvPicPr>
        <xdr:cNvPr id="79" name="Picture 78">
          <a:extLst>
            <a:ext uri="{FF2B5EF4-FFF2-40B4-BE49-F238E27FC236}">
              <a16:creationId xmlns:a16="http://schemas.microsoft.com/office/drawing/2014/main" id="{D4A4BB4E-5D87-46EC-A2F9-1FAA33345CB4}"/>
            </a:ext>
          </a:extLst>
        </xdr:cNvPr>
        <xdr:cNvPicPr>
          <a:picLocks noChangeAspect="1"/>
        </xdr:cNvPicPr>
      </xdr:nvPicPr>
      <xdr:blipFill>
        <a:blip xmlns:r="http://schemas.openxmlformats.org/officeDocument/2006/relationships" r:embed="rId15"/>
        <a:stretch>
          <a:fillRect/>
        </a:stretch>
      </xdr:blipFill>
      <xdr:spPr>
        <a:xfrm>
          <a:off x="801687" y="5225143"/>
          <a:ext cx="432000" cy="431627"/>
        </a:xfrm>
        <a:prstGeom prst="rect">
          <a:avLst/>
        </a:prstGeom>
      </xdr:spPr>
    </xdr:pic>
    <xdr:clientData/>
  </xdr:twoCellAnchor>
  <xdr:twoCellAnchor>
    <xdr:from>
      <xdr:col>9</xdr:col>
      <xdr:colOff>433003</xdr:colOff>
      <xdr:row>269</xdr:row>
      <xdr:rowOff>21270</xdr:rowOff>
    </xdr:from>
    <xdr:to>
      <xdr:col>9</xdr:col>
      <xdr:colOff>865003</xdr:colOff>
      <xdr:row>269</xdr:row>
      <xdr:rowOff>443745</xdr:rowOff>
    </xdr:to>
    <xdr:pic>
      <xdr:nvPicPr>
        <xdr:cNvPr id="81" name="Picture 80">
          <a:extLst>
            <a:ext uri="{FF2B5EF4-FFF2-40B4-BE49-F238E27FC236}">
              <a16:creationId xmlns:a16="http://schemas.microsoft.com/office/drawing/2014/main" id="{E9FF5618-4A32-42A1-BDAC-EF67D776054D}"/>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786789" y="6593520"/>
          <a:ext cx="432000" cy="422475"/>
        </a:xfrm>
        <a:prstGeom prst="rect">
          <a:avLst/>
        </a:prstGeom>
        <a:noFill/>
      </xdr:spPr>
    </xdr:pic>
    <xdr:clientData/>
  </xdr:twoCellAnchor>
  <xdr:twoCellAnchor>
    <xdr:from>
      <xdr:col>9</xdr:col>
      <xdr:colOff>445477</xdr:colOff>
      <xdr:row>249</xdr:row>
      <xdr:rowOff>22677</xdr:rowOff>
    </xdr:from>
    <xdr:to>
      <xdr:col>9</xdr:col>
      <xdr:colOff>877477</xdr:colOff>
      <xdr:row>249</xdr:row>
      <xdr:rowOff>445152</xdr:rowOff>
    </xdr:to>
    <xdr:pic>
      <xdr:nvPicPr>
        <xdr:cNvPr id="82" name="Picture 81">
          <a:extLst>
            <a:ext uri="{FF2B5EF4-FFF2-40B4-BE49-F238E27FC236}">
              <a16:creationId xmlns:a16="http://schemas.microsoft.com/office/drawing/2014/main" id="{472DFCD5-5194-4A5A-93AA-46FB8637FE2D}"/>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799263" y="5683248"/>
          <a:ext cx="432000" cy="422475"/>
        </a:xfrm>
        <a:prstGeom prst="rect">
          <a:avLst/>
        </a:prstGeom>
        <a:noFill/>
      </xdr:spPr>
    </xdr:pic>
    <xdr:clientData/>
  </xdr:twoCellAnchor>
  <xdr:twoCellAnchor>
    <xdr:from>
      <xdr:col>9</xdr:col>
      <xdr:colOff>442232</xdr:colOff>
      <xdr:row>279</xdr:row>
      <xdr:rowOff>15874</xdr:rowOff>
    </xdr:from>
    <xdr:to>
      <xdr:col>9</xdr:col>
      <xdr:colOff>874232</xdr:colOff>
      <xdr:row>279</xdr:row>
      <xdr:rowOff>447874</xdr:rowOff>
    </xdr:to>
    <xdr:pic>
      <xdr:nvPicPr>
        <xdr:cNvPr id="83" name="Picture 82">
          <a:extLst>
            <a:ext uri="{FF2B5EF4-FFF2-40B4-BE49-F238E27FC236}">
              <a16:creationId xmlns:a16="http://schemas.microsoft.com/office/drawing/2014/main" id="{035082BA-CA29-4419-AA65-B7D14AE0C551}"/>
            </a:ext>
          </a:extLst>
        </xdr:cNvPr>
        <xdr:cNvPicPr>
          <a:picLocks noChangeAspect="1"/>
        </xdr:cNvPicPr>
      </xdr:nvPicPr>
      <xdr:blipFill>
        <a:blip xmlns:r="http://schemas.openxmlformats.org/officeDocument/2006/relationships" r:embed="rId19"/>
        <a:stretch>
          <a:fillRect/>
        </a:stretch>
      </xdr:blipFill>
      <xdr:spPr>
        <a:xfrm>
          <a:off x="796018" y="7043963"/>
          <a:ext cx="432000" cy="432000"/>
        </a:xfrm>
        <a:prstGeom prst="rect">
          <a:avLst/>
        </a:prstGeom>
      </xdr:spPr>
    </xdr:pic>
    <xdr:clientData/>
  </xdr:twoCellAnchor>
  <xdr:twoCellAnchor>
    <xdr:from>
      <xdr:col>9</xdr:col>
      <xdr:colOff>450013</xdr:colOff>
      <xdr:row>289</xdr:row>
      <xdr:rowOff>21543</xdr:rowOff>
    </xdr:from>
    <xdr:to>
      <xdr:col>9</xdr:col>
      <xdr:colOff>882013</xdr:colOff>
      <xdr:row>289</xdr:row>
      <xdr:rowOff>453543</xdr:rowOff>
    </xdr:to>
    <xdr:pic>
      <xdr:nvPicPr>
        <xdr:cNvPr id="84" name="Picture 83" descr="hair protection">
          <a:extLst>
            <a:ext uri="{FF2B5EF4-FFF2-40B4-BE49-F238E27FC236}">
              <a16:creationId xmlns:a16="http://schemas.microsoft.com/office/drawing/2014/main" id="{AE7AF666-4F8B-4D4D-BD07-DE8816DDF9F0}"/>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03799" y="7505472"/>
          <a:ext cx="432000" cy="432000"/>
        </a:xfrm>
        <a:prstGeom prst="rect">
          <a:avLst/>
        </a:prstGeom>
        <a:noFill/>
        <a:ln>
          <a:noFill/>
        </a:ln>
      </xdr:spPr>
    </xdr:pic>
    <xdr:clientData/>
  </xdr:twoCellAnchor>
  <xdr:twoCellAnchor>
    <xdr:from>
      <xdr:col>9</xdr:col>
      <xdr:colOff>430735</xdr:colOff>
      <xdr:row>298</xdr:row>
      <xdr:rowOff>23811</xdr:rowOff>
    </xdr:from>
    <xdr:to>
      <xdr:col>9</xdr:col>
      <xdr:colOff>862735</xdr:colOff>
      <xdr:row>298</xdr:row>
      <xdr:rowOff>446286</xdr:rowOff>
    </xdr:to>
    <xdr:pic>
      <xdr:nvPicPr>
        <xdr:cNvPr id="85" name="Picture 84" descr="head protection">
          <a:extLst>
            <a:ext uri="{FF2B5EF4-FFF2-40B4-BE49-F238E27FC236}">
              <a16:creationId xmlns:a16="http://schemas.microsoft.com/office/drawing/2014/main" id="{50D0FBFC-6280-405A-8214-82D03EC072BC}"/>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784521" y="7963579"/>
          <a:ext cx="432000" cy="422475"/>
        </a:xfrm>
        <a:prstGeom prst="rect">
          <a:avLst/>
        </a:prstGeom>
        <a:noFill/>
        <a:ln>
          <a:noFill/>
        </a:ln>
      </xdr:spPr>
    </xdr:pic>
    <xdr:clientData/>
  </xdr:twoCellAnchor>
  <xdr:twoCellAnchor>
    <xdr:from>
      <xdr:col>9</xdr:col>
      <xdr:colOff>481990</xdr:colOff>
      <xdr:row>318</xdr:row>
      <xdr:rowOff>20408</xdr:rowOff>
    </xdr:from>
    <xdr:to>
      <xdr:col>9</xdr:col>
      <xdr:colOff>913990</xdr:colOff>
      <xdr:row>318</xdr:row>
      <xdr:rowOff>442883</xdr:rowOff>
    </xdr:to>
    <xdr:pic>
      <xdr:nvPicPr>
        <xdr:cNvPr id="86" name="Picture 85">
          <a:extLst>
            <a:ext uri="{FF2B5EF4-FFF2-40B4-BE49-F238E27FC236}">
              <a16:creationId xmlns:a16="http://schemas.microsoft.com/office/drawing/2014/main" id="{69DAC7D4-4D71-43D9-83CD-81DE7DFA84CB}"/>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835776" y="9327694"/>
          <a:ext cx="432000" cy="422475"/>
        </a:xfrm>
        <a:prstGeom prst="rect">
          <a:avLst/>
        </a:prstGeom>
        <a:noFill/>
        <a:ln>
          <a:noFill/>
        </a:ln>
      </xdr:spPr>
    </xdr:pic>
    <xdr:clientData/>
  </xdr:twoCellAnchor>
  <xdr:twoCellAnchor>
    <xdr:from>
      <xdr:col>9</xdr:col>
      <xdr:colOff>476094</xdr:colOff>
      <xdr:row>327</xdr:row>
      <xdr:rowOff>18142</xdr:rowOff>
    </xdr:from>
    <xdr:to>
      <xdr:col>9</xdr:col>
      <xdr:colOff>908094</xdr:colOff>
      <xdr:row>327</xdr:row>
      <xdr:rowOff>440617</xdr:rowOff>
    </xdr:to>
    <xdr:pic>
      <xdr:nvPicPr>
        <xdr:cNvPr id="87" name="Picture 86" descr="safety vests">
          <a:extLst>
            <a:ext uri="{FF2B5EF4-FFF2-40B4-BE49-F238E27FC236}">
              <a16:creationId xmlns:a16="http://schemas.microsoft.com/office/drawing/2014/main" id="{C0135260-2EB6-4238-B0E2-FA34930208F5}"/>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829880" y="10237106"/>
          <a:ext cx="432000" cy="422475"/>
        </a:xfrm>
        <a:prstGeom prst="rect">
          <a:avLst/>
        </a:prstGeom>
        <a:noFill/>
        <a:ln>
          <a:noFill/>
        </a:ln>
      </xdr:spPr>
    </xdr:pic>
    <xdr:clientData/>
  </xdr:twoCellAnchor>
  <xdr:twoCellAnchor>
    <xdr:from>
      <xdr:col>9</xdr:col>
      <xdr:colOff>479048</xdr:colOff>
      <xdr:row>306</xdr:row>
      <xdr:rowOff>18541</xdr:rowOff>
    </xdr:from>
    <xdr:to>
      <xdr:col>9</xdr:col>
      <xdr:colOff>911048</xdr:colOff>
      <xdr:row>306</xdr:row>
      <xdr:rowOff>441016</xdr:rowOff>
    </xdr:to>
    <xdr:pic>
      <xdr:nvPicPr>
        <xdr:cNvPr id="88" name="Picture 87">
          <a:extLst>
            <a:ext uri="{FF2B5EF4-FFF2-40B4-BE49-F238E27FC236}">
              <a16:creationId xmlns:a16="http://schemas.microsoft.com/office/drawing/2014/main" id="{0258C5F8-B33B-407F-9592-BC4FEFE75E67}"/>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32834" y="8414148"/>
          <a:ext cx="432000" cy="422475"/>
        </a:xfrm>
        <a:prstGeom prst="rect">
          <a:avLst/>
        </a:prstGeom>
        <a:noFill/>
      </xdr:spPr>
    </xdr:pic>
    <xdr:clientData/>
  </xdr:twoCellAnchor>
  <xdr:twoCellAnchor>
    <xdr:from>
      <xdr:col>9</xdr:col>
      <xdr:colOff>472691</xdr:colOff>
      <xdr:row>312</xdr:row>
      <xdr:rowOff>20410</xdr:rowOff>
    </xdr:from>
    <xdr:to>
      <xdr:col>9</xdr:col>
      <xdr:colOff>905440</xdr:colOff>
      <xdr:row>312</xdr:row>
      <xdr:rowOff>452410</xdr:rowOff>
    </xdr:to>
    <xdr:pic>
      <xdr:nvPicPr>
        <xdr:cNvPr id="89" name="Picture 88">
          <a:extLst>
            <a:ext uri="{FF2B5EF4-FFF2-40B4-BE49-F238E27FC236}">
              <a16:creationId xmlns:a16="http://schemas.microsoft.com/office/drawing/2014/main" id="{29DE6FA1-4B43-4D1D-88DF-716E1BCE9345}"/>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26477" y="8871856"/>
          <a:ext cx="432749" cy="432000"/>
        </a:xfrm>
        <a:prstGeom prst="rect">
          <a:avLst/>
        </a:prstGeom>
      </xdr:spPr>
    </xdr:pic>
    <xdr:clientData/>
  </xdr:twoCellAnchor>
  <xdr:twoCellAnchor>
    <xdr:from>
      <xdr:col>9</xdr:col>
      <xdr:colOff>476250</xdr:colOff>
      <xdr:row>324</xdr:row>
      <xdr:rowOff>17010</xdr:rowOff>
    </xdr:from>
    <xdr:to>
      <xdr:col>9</xdr:col>
      <xdr:colOff>908250</xdr:colOff>
      <xdr:row>324</xdr:row>
      <xdr:rowOff>449010</xdr:rowOff>
    </xdr:to>
    <xdr:pic>
      <xdr:nvPicPr>
        <xdr:cNvPr id="90" name="Picture 89">
          <a:extLst>
            <a:ext uri="{FF2B5EF4-FFF2-40B4-BE49-F238E27FC236}">
              <a16:creationId xmlns:a16="http://schemas.microsoft.com/office/drawing/2014/main" id="{0B34CD6F-C8D8-48B8-A5DB-58A6BA3747B8}"/>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6021161" y="9780135"/>
          <a:ext cx="432000" cy="432000"/>
        </a:xfrm>
        <a:prstGeom prst="rect">
          <a:avLst/>
        </a:prstGeom>
      </xdr:spPr>
    </xdr:pic>
    <xdr:clientData/>
  </xdr:twoCellAnchor>
  <xdr:twoCellAnchor>
    <xdr:from>
      <xdr:col>9</xdr:col>
      <xdr:colOff>436563</xdr:colOff>
      <xdr:row>331</xdr:row>
      <xdr:rowOff>17008</xdr:rowOff>
    </xdr:from>
    <xdr:to>
      <xdr:col>9</xdr:col>
      <xdr:colOff>868563</xdr:colOff>
      <xdr:row>331</xdr:row>
      <xdr:rowOff>449008</xdr:rowOff>
    </xdr:to>
    <xdr:pic>
      <xdr:nvPicPr>
        <xdr:cNvPr id="91" name="Picture 90">
          <a:extLst>
            <a:ext uri="{FF2B5EF4-FFF2-40B4-BE49-F238E27FC236}">
              <a16:creationId xmlns:a16="http://schemas.microsoft.com/office/drawing/2014/main" id="{73B4240A-91C3-42C5-B3CD-11780E1DE909}"/>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flipH="1">
          <a:off x="790349" y="10691812"/>
          <a:ext cx="432000" cy="432000"/>
        </a:xfrm>
        <a:prstGeom prst="rect">
          <a:avLst/>
        </a:prstGeom>
      </xdr:spPr>
    </xdr:pic>
    <xdr:clientData/>
  </xdr:twoCellAnchor>
  <xdr:twoCellAnchor>
    <xdr:from>
      <xdr:col>9</xdr:col>
      <xdr:colOff>443370</xdr:colOff>
      <xdr:row>332</xdr:row>
      <xdr:rowOff>17007</xdr:rowOff>
    </xdr:from>
    <xdr:to>
      <xdr:col>9</xdr:col>
      <xdr:colOff>875370</xdr:colOff>
      <xdr:row>332</xdr:row>
      <xdr:rowOff>449007</xdr:rowOff>
    </xdr:to>
    <xdr:pic>
      <xdr:nvPicPr>
        <xdr:cNvPr id="92" name="Picture 91">
          <a:extLst>
            <a:ext uri="{FF2B5EF4-FFF2-40B4-BE49-F238E27FC236}">
              <a16:creationId xmlns:a16="http://schemas.microsoft.com/office/drawing/2014/main" id="{4D6671DD-3D0D-4107-9AAD-F3009871BC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797156" y="11147650"/>
          <a:ext cx="432000" cy="432000"/>
        </a:xfrm>
        <a:prstGeom prst="rect">
          <a:avLst/>
        </a:prstGeom>
        <a:noFill/>
      </xdr:spPr>
    </xdr:pic>
    <xdr:clientData/>
  </xdr:twoCellAnchor>
  <xdr:twoCellAnchor>
    <xdr:from>
      <xdr:col>12</xdr:col>
      <xdr:colOff>448878</xdr:colOff>
      <xdr:row>31</xdr:row>
      <xdr:rowOff>23131</xdr:rowOff>
    </xdr:from>
    <xdr:to>
      <xdr:col>12</xdr:col>
      <xdr:colOff>880878</xdr:colOff>
      <xdr:row>31</xdr:row>
      <xdr:rowOff>455131</xdr:rowOff>
    </xdr:to>
    <xdr:pic>
      <xdr:nvPicPr>
        <xdr:cNvPr id="198" name="Picture 197">
          <a:extLst>
            <a:ext uri="{FF2B5EF4-FFF2-40B4-BE49-F238E27FC236}">
              <a16:creationId xmlns:a16="http://schemas.microsoft.com/office/drawing/2014/main" id="{2A668079-4612-4930-A48C-28232B5D94D8}"/>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11160577"/>
          <a:ext cx="432000" cy="432000"/>
        </a:xfrm>
        <a:prstGeom prst="rect">
          <a:avLst/>
        </a:prstGeom>
        <a:noFill/>
        <a:ln>
          <a:noFill/>
        </a:ln>
      </xdr:spPr>
    </xdr:pic>
    <xdr:clientData/>
  </xdr:twoCellAnchor>
  <xdr:twoCellAnchor>
    <xdr:from>
      <xdr:col>12</xdr:col>
      <xdr:colOff>452664</xdr:colOff>
      <xdr:row>27</xdr:row>
      <xdr:rowOff>23584</xdr:rowOff>
    </xdr:from>
    <xdr:to>
      <xdr:col>12</xdr:col>
      <xdr:colOff>884664</xdr:colOff>
      <xdr:row>27</xdr:row>
      <xdr:rowOff>446059</xdr:rowOff>
    </xdr:to>
    <xdr:pic>
      <xdr:nvPicPr>
        <xdr:cNvPr id="199" name="Picture 198">
          <a:extLst>
            <a:ext uri="{FF2B5EF4-FFF2-40B4-BE49-F238E27FC236}">
              <a16:creationId xmlns:a16="http://schemas.microsoft.com/office/drawing/2014/main" id="{95958AD0-64D1-4AFE-A988-2C649185DD3F}"/>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9337673"/>
          <a:ext cx="432000" cy="422475"/>
        </a:xfrm>
        <a:prstGeom prst="rect">
          <a:avLst/>
        </a:prstGeom>
      </xdr:spPr>
    </xdr:pic>
    <xdr:clientData/>
  </xdr:twoCellAnchor>
  <xdr:twoCellAnchor>
    <xdr:from>
      <xdr:col>12</xdr:col>
      <xdr:colOff>425449</xdr:colOff>
      <xdr:row>30</xdr:row>
      <xdr:rowOff>17235</xdr:rowOff>
    </xdr:from>
    <xdr:to>
      <xdr:col>12</xdr:col>
      <xdr:colOff>859521</xdr:colOff>
      <xdr:row>30</xdr:row>
      <xdr:rowOff>439710</xdr:rowOff>
    </xdr:to>
    <xdr:pic>
      <xdr:nvPicPr>
        <xdr:cNvPr id="200" name="Picture 199">
          <a:extLst>
            <a:ext uri="{FF2B5EF4-FFF2-40B4-BE49-F238E27FC236}">
              <a16:creationId xmlns:a16="http://schemas.microsoft.com/office/drawing/2014/main" id="{D7595D7C-D532-4803-ABEF-33D8DD2550E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10698842"/>
          <a:ext cx="434072" cy="422475"/>
        </a:xfrm>
        <a:prstGeom prst="rect">
          <a:avLst/>
        </a:prstGeom>
      </xdr:spPr>
    </xdr:pic>
    <xdr:clientData/>
  </xdr:twoCellAnchor>
  <xdr:twoCellAnchor>
    <xdr:from>
      <xdr:col>12</xdr:col>
      <xdr:colOff>431800</xdr:colOff>
      <xdr:row>29</xdr:row>
      <xdr:rowOff>18142</xdr:rowOff>
    </xdr:from>
    <xdr:to>
      <xdr:col>12</xdr:col>
      <xdr:colOff>864078</xdr:colOff>
      <xdr:row>29</xdr:row>
      <xdr:rowOff>440617</xdr:rowOff>
    </xdr:to>
    <xdr:pic>
      <xdr:nvPicPr>
        <xdr:cNvPr id="201" name="Picture 200" descr="face shield">
          <a:extLst>
            <a:ext uri="{FF2B5EF4-FFF2-40B4-BE49-F238E27FC236}">
              <a16:creationId xmlns:a16="http://schemas.microsoft.com/office/drawing/2014/main" id="{912C2AE2-9E77-487D-B6E9-043678BC903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10243910"/>
          <a:ext cx="432278" cy="422475"/>
        </a:xfrm>
        <a:prstGeom prst="rect">
          <a:avLst/>
        </a:prstGeom>
        <a:noFill/>
        <a:ln>
          <a:noFill/>
        </a:ln>
      </xdr:spPr>
    </xdr:pic>
    <xdr:clientData/>
  </xdr:twoCellAnchor>
  <xdr:twoCellAnchor>
    <xdr:from>
      <xdr:col>12</xdr:col>
      <xdr:colOff>453118</xdr:colOff>
      <xdr:row>28</xdr:row>
      <xdr:rowOff>19050</xdr:rowOff>
    </xdr:from>
    <xdr:to>
      <xdr:col>12</xdr:col>
      <xdr:colOff>885118</xdr:colOff>
      <xdr:row>28</xdr:row>
      <xdr:rowOff>451050</xdr:rowOff>
    </xdr:to>
    <xdr:pic>
      <xdr:nvPicPr>
        <xdr:cNvPr id="202" name="Picture 201">
          <a:extLst>
            <a:ext uri="{FF2B5EF4-FFF2-40B4-BE49-F238E27FC236}">
              <a16:creationId xmlns:a16="http://schemas.microsoft.com/office/drawing/2014/main" id="{DD1FD2E3-1D48-4BA9-8D8F-41FCBC9AB543}"/>
            </a:ext>
          </a:extLst>
        </xdr:cNvPr>
        <xdr:cNvPicPr>
          <a:picLocks noChangeAspect="1"/>
        </xdr:cNvPicPr>
      </xdr:nvPicPr>
      <xdr:blipFill>
        <a:blip xmlns:r="http://schemas.openxmlformats.org/officeDocument/2006/relationships" r:embed="rId9"/>
        <a:stretch>
          <a:fillRect/>
        </a:stretch>
      </xdr:blipFill>
      <xdr:spPr>
        <a:xfrm>
          <a:off x="2031547" y="9788979"/>
          <a:ext cx="432000" cy="432000"/>
        </a:xfrm>
        <a:prstGeom prst="rect">
          <a:avLst/>
        </a:prstGeom>
      </xdr:spPr>
    </xdr:pic>
    <xdr:clientData/>
  </xdr:twoCellAnchor>
  <xdr:twoCellAnchor>
    <xdr:from>
      <xdr:col>12</xdr:col>
      <xdr:colOff>442982</xdr:colOff>
      <xdr:row>35</xdr:row>
      <xdr:rowOff>16328</xdr:rowOff>
    </xdr:from>
    <xdr:to>
      <xdr:col>12</xdr:col>
      <xdr:colOff>874367</xdr:colOff>
      <xdr:row>35</xdr:row>
      <xdr:rowOff>448328</xdr:rowOff>
    </xdr:to>
    <xdr:pic>
      <xdr:nvPicPr>
        <xdr:cNvPr id="203" name="Picture 202">
          <a:extLst>
            <a:ext uri="{FF2B5EF4-FFF2-40B4-BE49-F238E27FC236}">
              <a16:creationId xmlns:a16="http://schemas.microsoft.com/office/drawing/2014/main" id="{ECF33A25-2332-4A97-9636-426789A04AB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21411" y="12977132"/>
          <a:ext cx="431385" cy="432000"/>
        </a:xfrm>
        <a:prstGeom prst="rect">
          <a:avLst/>
        </a:prstGeom>
      </xdr:spPr>
    </xdr:pic>
    <xdr:clientData/>
  </xdr:twoCellAnchor>
  <xdr:twoCellAnchor>
    <xdr:from>
      <xdr:col>12</xdr:col>
      <xdr:colOff>399596</xdr:colOff>
      <xdr:row>32</xdr:row>
      <xdr:rowOff>21636</xdr:rowOff>
    </xdr:from>
    <xdr:to>
      <xdr:col>12</xdr:col>
      <xdr:colOff>831596</xdr:colOff>
      <xdr:row>32</xdr:row>
      <xdr:rowOff>444111</xdr:rowOff>
    </xdr:to>
    <xdr:pic>
      <xdr:nvPicPr>
        <xdr:cNvPr id="204" name="Picture 203">
          <a:extLst>
            <a:ext uri="{FF2B5EF4-FFF2-40B4-BE49-F238E27FC236}">
              <a16:creationId xmlns:a16="http://schemas.microsoft.com/office/drawing/2014/main" id="{F3AB57E4-2F68-4A91-9C8D-933E68E0E166}"/>
            </a:ext>
          </a:extLst>
        </xdr:cNvPr>
        <xdr:cNvPicPr>
          <a:picLocks noChangeAspect="1"/>
        </xdr:cNvPicPr>
      </xdr:nvPicPr>
      <xdr:blipFill>
        <a:blip xmlns:r="http://schemas.openxmlformats.org/officeDocument/2006/relationships" r:embed="rId12"/>
        <a:stretch>
          <a:fillRect/>
        </a:stretch>
      </xdr:blipFill>
      <xdr:spPr>
        <a:xfrm>
          <a:off x="1978025" y="11614922"/>
          <a:ext cx="432000" cy="422475"/>
        </a:xfrm>
        <a:prstGeom prst="rect">
          <a:avLst/>
        </a:prstGeom>
      </xdr:spPr>
    </xdr:pic>
    <xdr:clientData/>
  </xdr:twoCellAnchor>
  <xdr:twoCellAnchor>
    <xdr:from>
      <xdr:col>12</xdr:col>
      <xdr:colOff>432255</xdr:colOff>
      <xdr:row>34</xdr:row>
      <xdr:rowOff>17235</xdr:rowOff>
    </xdr:from>
    <xdr:to>
      <xdr:col>12</xdr:col>
      <xdr:colOff>864372</xdr:colOff>
      <xdr:row>34</xdr:row>
      <xdr:rowOff>449235</xdr:rowOff>
    </xdr:to>
    <xdr:pic>
      <xdr:nvPicPr>
        <xdr:cNvPr id="205" name="Picture 204">
          <a:extLst>
            <a:ext uri="{FF2B5EF4-FFF2-40B4-BE49-F238E27FC236}">
              <a16:creationId xmlns:a16="http://schemas.microsoft.com/office/drawing/2014/main" id="{892BDA61-E4C0-4020-ACD7-F10801415F0C}"/>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2010684" y="12522199"/>
          <a:ext cx="432117" cy="432000"/>
        </a:xfrm>
        <a:prstGeom prst="rect">
          <a:avLst/>
        </a:prstGeom>
      </xdr:spPr>
    </xdr:pic>
    <xdr:clientData/>
  </xdr:twoCellAnchor>
  <xdr:twoCellAnchor>
    <xdr:from>
      <xdr:col>12</xdr:col>
      <xdr:colOff>423181</xdr:colOff>
      <xdr:row>33</xdr:row>
      <xdr:rowOff>17237</xdr:rowOff>
    </xdr:from>
    <xdr:to>
      <xdr:col>12</xdr:col>
      <xdr:colOff>855181</xdr:colOff>
      <xdr:row>33</xdr:row>
      <xdr:rowOff>439712</xdr:rowOff>
    </xdr:to>
    <xdr:pic>
      <xdr:nvPicPr>
        <xdr:cNvPr id="206" name="Picture 205">
          <a:extLst>
            <a:ext uri="{FF2B5EF4-FFF2-40B4-BE49-F238E27FC236}">
              <a16:creationId xmlns:a16="http://schemas.microsoft.com/office/drawing/2014/main" id="{B1349BE4-E4D3-4994-AB75-687004FED92D}"/>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2001610" y="12066362"/>
          <a:ext cx="432000" cy="422475"/>
        </a:xfrm>
        <a:prstGeom prst="rect">
          <a:avLst/>
        </a:prstGeom>
      </xdr:spPr>
    </xdr:pic>
    <xdr:clientData/>
  </xdr:twoCellAnchor>
  <xdr:twoCellAnchor>
    <xdr:from>
      <xdr:col>12</xdr:col>
      <xdr:colOff>447902</xdr:colOff>
      <xdr:row>36</xdr:row>
      <xdr:rowOff>17690</xdr:rowOff>
    </xdr:from>
    <xdr:to>
      <xdr:col>12</xdr:col>
      <xdr:colOff>879902</xdr:colOff>
      <xdr:row>36</xdr:row>
      <xdr:rowOff>439792</xdr:rowOff>
    </xdr:to>
    <xdr:pic>
      <xdr:nvPicPr>
        <xdr:cNvPr id="207" name="Picture 206">
          <a:extLst>
            <a:ext uri="{FF2B5EF4-FFF2-40B4-BE49-F238E27FC236}">
              <a16:creationId xmlns:a16="http://schemas.microsoft.com/office/drawing/2014/main" id="{4E7DB84F-45F1-4E76-9938-A71DD17028C6}"/>
            </a:ext>
          </a:extLst>
        </xdr:cNvPr>
        <xdr:cNvPicPr>
          <a:picLocks noChangeAspect="1"/>
        </xdr:cNvPicPr>
      </xdr:nvPicPr>
      <xdr:blipFill>
        <a:blip xmlns:r="http://schemas.openxmlformats.org/officeDocument/2006/relationships" r:embed="rId15"/>
        <a:stretch>
          <a:fillRect/>
        </a:stretch>
      </xdr:blipFill>
      <xdr:spPr>
        <a:xfrm>
          <a:off x="2026331" y="13434333"/>
          <a:ext cx="432000" cy="422102"/>
        </a:xfrm>
        <a:prstGeom prst="rect">
          <a:avLst/>
        </a:prstGeom>
      </xdr:spPr>
    </xdr:pic>
    <xdr:clientData/>
  </xdr:twoCellAnchor>
  <xdr:twoCellAnchor>
    <xdr:from>
      <xdr:col>12</xdr:col>
      <xdr:colOff>447901</xdr:colOff>
      <xdr:row>37</xdr:row>
      <xdr:rowOff>20411</xdr:rowOff>
    </xdr:from>
    <xdr:to>
      <xdr:col>12</xdr:col>
      <xdr:colOff>879901</xdr:colOff>
      <xdr:row>37</xdr:row>
      <xdr:rowOff>452038</xdr:rowOff>
    </xdr:to>
    <xdr:pic>
      <xdr:nvPicPr>
        <xdr:cNvPr id="208" name="Picture 207">
          <a:extLst>
            <a:ext uri="{FF2B5EF4-FFF2-40B4-BE49-F238E27FC236}">
              <a16:creationId xmlns:a16="http://schemas.microsoft.com/office/drawing/2014/main" id="{E7B07AA6-B968-4DF4-A0DF-9E8E8B2AEE16}"/>
            </a:ext>
          </a:extLst>
        </xdr:cNvPr>
        <xdr:cNvPicPr>
          <a:picLocks noChangeAspect="1"/>
        </xdr:cNvPicPr>
      </xdr:nvPicPr>
      <xdr:blipFill>
        <a:blip xmlns:r="http://schemas.openxmlformats.org/officeDocument/2006/relationships" r:embed="rId15"/>
        <a:stretch>
          <a:fillRect/>
        </a:stretch>
      </xdr:blipFill>
      <xdr:spPr>
        <a:xfrm>
          <a:off x="2026330" y="13892893"/>
          <a:ext cx="432000" cy="431627"/>
        </a:xfrm>
        <a:prstGeom prst="rect">
          <a:avLst/>
        </a:prstGeom>
      </xdr:spPr>
    </xdr:pic>
    <xdr:clientData/>
  </xdr:twoCellAnchor>
  <xdr:twoCellAnchor>
    <xdr:from>
      <xdr:col>12</xdr:col>
      <xdr:colOff>442075</xdr:colOff>
      <xdr:row>39</xdr:row>
      <xdr:rowOff>12109</xdr:rowOff>
    </xdr:from>
    <xdr:to>
      <xdr:col>12</xdr:col>
      <xdr:colOff>874075</xdr:colOff>
      <xdr:row>39</xdr:row>
      <xdr:rowOff>444806</xdr:rowOff>
    </xdr:to>
    <xdr:pic>
      <xdr:nvPicPr>
        <xdr:cNvPr id="209" name="Picture 208">
          <a:extLst>
            <a:ext uri="{FF2B5EF4-FFF2-40B4-BE49-F238E27FC236}">
              <a16:creationId xmlns:a16="http://schemas.microsoft.com/office/drawing/2014/main" id="{254149F1-555B-4B0B-B520-A5936F71FD27}"/>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2020504" y="14796270"/>
          <a:ext cx="432000" cy="432697"/>
        </a:xfrm>
        <a:prstGeom prst="rect">
          <a:avLst/>
        </a:prstGeom>
        <a:noFill/>
      </xdr:spPr>
    </xdr:pic>
    <xdr:clientData/>
  </xdr:twoCellAnchor>
  <xdr:twoCellAnchor>
    <xdr:from>
      <xdr:col>12</xdr:col>
      <xdr:colOff>433003</xdr:colOff>
      <xdr:row>40</xdr:row>
      <xdr:rowOff>21270</xdr:rowOff>
    </xdr:from>
    <xdr:to>
      <xdr:col>12</xdr:col>
      <xdr:colOff>865003</xdr:colOff>
      <xdr:row>40</xdr:row>
      <xdr:rowOff>443745</xdr:rowOff>
    </xdr:to>
    <xdr:pic>
      <xdr:nvPicPr>
        <xdr:cNvPr id="210" name="Picture 209">
          <a:extLst>
            <a:ext uri="{FF2B5EF4-FFF2-40B4-BE49-F238E27FC236}">
              <a16:creationId xmlns:a16="http://schemas.microsoft.com/office/drawing/2014/main" id="{DF324AAF-027C-485B-AAFA-9219A6E3717C}"/>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2011432" y="15261270"/>
          <a:ext cx="432000" cy="422475"/>
        </a:xfrm>
        <a:prstGeom prst="rect">
          <a:avLst/>
        </a:prstGeom>
        <a:noFill/>
      </xdr:spPr>
    </xdr:pic>
    <xdr:clientData/>
  </xdr:twoCellAnchor>
  <xdr:twoCellAnchor>
    <xdr:from>
      <xdr:col>12</xdr:col>
      <xdr:colOff>445477</xdr:colOff>
      <xdr:row>38</xdr:row>
      <xdr:rowOff>22677</xdr:rowOff>
    </xdr:from>
    <xdr:to>
      <xdr:col>12</xdr:col>
      <xdr:colOff>877477</xdr:colOff>
      <xdr:row>38</xdr:row>
      <xdr:rowOff>445152</xdr:rowOff>
    </xdr:to>
    <xdr:pic>
      <xdr:nvPicPr>
        <xdr:cNvPr id="211" name="Picture 210">
          <a:extLst>
            <a:ext uri="{FF2B5EF4-FFF2-40B4-BE49-F238E27FC236}">
              <a16:creationId xmlns:a16="http://schemas.microsoft.com/office/drawing/2014/main" id="{5BE7B991-8179-4914-8C0D-1C0E035507BE}"/>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23906" y="14350998"/>
          <a:ext cx="432000" cy="422475"/>
        </a:xfrm>
        <a:prstGeom prst="rect">
          <a:avLst/>
        </a:prstGeom>
        <a:noFill/>
      </xdr:spPr>
    </xdr:pic>
    <xdr:clientData/>
  </xdr:twoCellAnchor>
  <xdr:twoCellAnchor>
    <xdr:from>
      <xdr:col>12</xdr:col>
      <xdr:colOff>442232</xdr:colOff>
      <xdr:row>41</xdr:row>
      <xdr:rowOff>15874</xdr:rowOff>
    </xdr:from>
    <xdr:to>
      <xdr:col>12</xdr:col>
      <xdr:colOff>874232</xdr:colOff>
      <xdr:row>41</xdr:row>
      <xdr:rowOff>447874</xdr:rowOff>
    </xdr:to>
    <xdr:pic>
      <xdr:nvPicPr>
        <xdr:cNvPr id="212" name="Picture 211">
          <a:extLst>
            <a:ext uri="{FF2B5EF4-FFF2-40B4-BE49-F238E27FC236}">
              <a16:creationId xmlns:a16="http://schemas.microsoft.com/office/drawing/2014/main" id="{D2982036-C095-4102-B58E-849DB45C1641}"/>
            </a:ext>
          </a:extLst>
        </xdr:cNvPr>
        <xdr:cNvPicPr>
          <a:picLocks noChangeAspect="1"/>
        </xdr:cNvPicPr>
      </xdr:nvPicPr>
      <xdr:blipFill>
        <a:blip xmlns:r="http://schemas.openxmlformats.org/officeDocument/2006/relationships" r:embed="rId19"/>
        <a:stretch>
          <a:fillRect/>
        </a:stretch>
      </xdr:blipFill>
      <xdr:spPr>
        <a:xfrm>
          <a:off x="2020661" y="15711713"/>
          <a:ext cx="432000" cy="432000"/>
        </a:xfrm>
        <a:prstGeom prst="rect">
          <a:avLst/>
        </a:prstGeom>
      </xdr:spPr>
    </xdr:pic>
    <xdr:clientData/>
  </xdr:twoCellAnchor>
  <xdr:twoCellAnchor>
    <xdr:from>
      <xdr:col>12</xdr:col>
      <xdr:colOff>450013</xdr:colOff>
      <xdr:row>42</xdr:row>
      <xdr:rowOff>21543</xdr:rowOff>
    </xdr:from>
    <xdr:to>
      <xdr:col>12</xdr:col>
      <xdr:colOff>882013</xdr:colOff>
      <xdr:row>42</xdr:row>
      <xdr:rowOff>453543</xdr:rowOff>
    </xdr:to>
    <xdr:pic>
      <xdr:nvPicPr>
        <xdr:cNvPr id="213" name="Picture 212" descr="hair protection">
          <a:extLst>
            <a:ext uri="{FF2B5EF4-FFF2-40B4-BE49-F238E27FC236}">
              <a16:creationId xmlns:a16="http://schemas.microsoft.com/office/drawing/2014/main" id="{658E0ECA-DA09-4062-971E-9AF2C9A6B426}"/>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28442" y="16173222"/>
          <a:ext cx="432000" cy="432000"/>
        </a:xfrm>
        <a:prstGeom prst="rect">
          <a:avLst/>
        </a:prstGeom>
        <a:noFill/>
        <a:ln>
          <a:noFill/>
        </a:ln>
      </xdr:spPr>
    </xdr:pic>
    <xdr:clientData/>
  </xdr:twoCellAnchor>
  <xdr:twoCellAnchor>
    <xdr:from>
      <xdr:col>12</xdr:col>
      <xdr:colOff>430735</xdr:colOff>
      <xdr:row>43</xdr:row>
      <xdr:rowOff>23811</xdr:rowOff>
    </xdr:from>
    <xdr:to>
      <xdr:col>12</xdr:col>
      <xdr:colOff>862735</xdr:colOff>
      <xdr:row>43</xdr:row>
      <xdr:rowOff>446286</xdr:rowOff>
    </xdr:to>
    <xdr:pic>
      <xdr:nvPicPr>
        <xdr:cNvPr id="214" name="Picture 213" descr="head protection">
          <a:extLst>
            <a:ext uri="{FF2B5EF4-FFF2-40B4-BE49-F238E27FC236}">
              <a16:creationId xmlns:a16="http://schemas.microsoft.com/office/drawing/2014/main" id="{3AA69C09-A627-4D84-BFF0-8C9F075B14DD}"/>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09164" y="16631329"/>
          <a:ext cx="432000" cy="422475"/>
        </a:xfrm>
        <a:prstGeom prst="rect">
          <a:avLst/>
        </a:prstGeom>
        <a:noFill/>
        <a:ln>
          <a:noFill/>
        </a:ln>
      </xdr:spPr>
    </xdr:pic>
    <xdr:clientData/>
  </xdr:twoCellAnchor>
  <xdr:twoCellAnchor>
    <xdr:from>
      <xdr:col>12</xdr:col>
      <xdr:colOff>481990</xdr:colOff>
      <xdr:row>46</xdr:row>
      <xdr:rowOff>20408</xdr:rowOff>
    </xdr:from>
    <xdr:to>
      <xdr:col>12</xdr:col>
      <xdr:colOff>913990</xdr:colOff>
      <xdr:row>46</xdr:row>
      <xdr:rowOff>442883</xdr:rowOff>
    </xdr:to>
    <xdr:pic>
      <xdr:nvPicPr>
        <xdr:cNvPr id="215" name="Picture 214">
          <a:extLst>
            <a:ext uri="{FF2B5EF4-FFF2-40B4-BE49-F238E27FC236}">
              <a16:creationId xmlns:a16="http://schemas.microsoft.com/office/drawing/2014/main" id="{38F7FF29-8F73-4EDA-82BF-781561275CA8}"/>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2060419" y="17995444"/>
          <a:ext cx="432000" cy="422475"/>
        </a:xfrm>
        <a:prstGeom prst="rect">
          <a:avLst/>
        </a:prstGeom>
        <a:noFill/>
        <a:ln>
          <a:noFill/>
        </a:ln>
      </xdr:spPr>
    </xdr:pic>
    <xdr:clientData/>
  </xdr:twoCellAnchor>
  <xdr:twoCellAnchor>
    <xdr:from>
      <xdr:col>12</xdr:col>
      <xdr:colOff>476094</xdr:colOff>
      <xdr:row>48</xdr:row>
      <xdr:rowOff>18142</xdr:rowOff>
    </xdr:from>
    <xdr:to>
      <xdr:col>12</xdr:col>
      <xdr:colOff>908094</xdr:colOff>
      <xdr:row>48</xdr:row>
      <xdr:rowOff>440617</xdr:rowOff>
    </xdr:to>
    <xdr:pic>
      <xdr:nvPicPr>
        <xdr:cNvPr id="216" name="Picture 215" descr="safety vests">
          <a:extLst>
            <a:ext uri="{FF2B5EF4-FFF2-40B4-BE49-F238E27FC236}">
              <a16:creationId xmlns:a16="http://schemas.microsoft.com/office/drawing/2014/main" id="{CC96B3B8-0A8C-48DA-A6CE-E5777169FC84}"/>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54523" y="18904856"/>
          <a:ext cx="432000" cy="422475"/>
        </a:xfrm>
        <a:prstGeom prst="rect">
          <a:avLst/>
        </a:prstGeom>
        <a:noFill/>
        <a:ln>
          <a:noFill/>
        </a:ln>
      </xdr:spPr>
    </xdr:pic>
    <xdr:clientData/>
  </xdr:twoCellAnchor>
  <xdr:twoCellAnchor>
    <xdr:from>
      <xdr:col>12</xdr:col>
      <xdr:colOff>479048</xdr:colOff>
      <xdr:row>44</xdr:row>
      <xdr:rowOff>18541</xdr:rowOff>
    </xdr:from>
    <xdr:to>
      <xdr:col>12</xdr:col>
      <xdr:colOff>911048</xdr:colOff>
      <xdr:row>44</xdr:row>
      <xdr:rowOff>441016</xdr:rowOff>
    </xdr:to>
    <xdr:pic>
      <xdr:nvPicPr>
        <xdr:cNvPr id="217" name="Picture 216">
          <a:extLst>
            <a:ext uri="{FF2B5EF4-FFF2-40B4-BE49-F238E27FC236}">
              <a16:creationId xmlns:a16="http://schemas.microsoft.com/office/drawing/2014/main" id="{D66D5A84-02E4-4733-A297-21EB92096C54}"/>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57477" y="17081898"/>
          <a:ext cx="432000" cy="422475"/>
        </a:xfrm>
        <a:prstGeom prst="rect">
          <a:avLst/>
        </a:prstGeom>
        <a:noFill/>
      </xdr:spPr>
    </xdr:pic>
    <xdr:clientData/>
  </xdr:twoCellAnchor>
  <xdr:twoCellAnchor>
    <xdr:from>
      <xdr:col>12</xdr:col>
      <xdr:colOff>472691</xdr:colOff>
      <xdr:row>45</xdr:row>
      <xdr:rowOff>20410</xdr:rowOff>
    </xdr:from>
    <xdr:to>
      <xdr:col>12</xdr:col>
      <xdr:colOff>905440</xdr:colOff>
      <xdr:row>45</xdr:row>
      <xdr:rowOff>452410</xdr:rowOff>
    </xdr:to>
    <xdr:pic>
      <xdr:nvPicPr>
        <xdr:cNvPr id="218" name="Picture 217">
          <a:extLst>
            <a:ext uri="{FF2B5EF4-FFF2-40B4-BE49-F238E27FC236}">
              <a16:creationId xmlns:a16="http://schemas.microsoft.com/office/drawing/2014/main" id="{6A005A0C-AFAE-43B8-AB19-3CD64E87D71E}"/>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051120" y="17539606"/>
          <a:ext cx="432749" cy="432000"/>
        </a:xfrm>
        <a:prstGeom prst="rect">
          <a:avLst/>
        </a:prstGeom>
      </xdr:spPr>
    </xdr:pic>
    <xdr:clientData/>
  </xdr:twoCellAnchor>
  <xdr:twoCellAnchor>
    <xdr:from>
      <xdr:col>12</xdr:col>
      <xdr:colOff>476250</xdr:colOff>
      <xdr:row>47</xdr:row>
      <xdr:rowOff>17010</xdr:rowOff>
    </xdr:from>
    <xdr:to>
      <xdr:col>12</xdr:col>
      <xdr:colOff>908250</xdr:colOff>
      <xdr:row>47</xdr:row>
      <xdr:rowOff>449010</xdr:rowOff>
    </xdr:to>
    <xdr:pic>
      <xdr:nvPicPr>
        <xdr:cNvPr id="219" name="Picture 218">
          <a:extLst>
            <a:ext uri="{FF2B5EF4-FFF2-40B4-BE49-F238E27FC236}">
              <a16:creationId xmlns:a16="http://schemas.microsoft.com/office/drawing/2014/main" id="{0B83E68B-4ADF-4F77-8689-24E370D649A6}"/>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2054679" y="18447885"/>
          <a:ext cx="432000" cy="432000"/>
        </a:xfrm>
        <a:prstGeom prst="rect">
          <a:avLst/>
        </a:prstGeom>
      </xdr:spPr>
    </xdr:pic>
    <xdr:clientData/>
  </xdr:twoCellAnchor>
  <xdr:twoCellAnchor>
    <xdr:from>
      <xdr:col>12</xdr:col>
      <xdr:colOff>436563</xdr:colOff>
      <xdr:row>49</xdr:row>
      <xdr:rowOff>17008</xdr:rowOff>
    </xdr:from>
    <xdr:to>
      <xdr:col>12</xdr:col>
      <xdr:colOff>868563</xdr:colOff>
      <xdr:row>49</xdr:row>
      <xdr:rowOff>449008</xdr:rowOff>
    </xdr:to>
    <xdr:pic>
      <xdr:nvPicPr>
        <xdr:cNvPr id="220" name="Picture 219">
          <a:extLst>
            <a:ext uri="{FF2B5EF4-FFF2-40B4-BE49-F238E27FC236}">
              <a16:creationId xmlns:a16="http://schemas.microsoft.com/office/drawing/2014/main" id="{A30BCCFF-6412-4AF6-9B55-E0DD31EC3EA8}"/>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2014992" y="19359562"/>
          <a:ext cx="432000" cy="432000"/>
        </a:xfrm>
        <a:prstGeom prst="rect">
          <a:avLst/>
        </a:prstGeom>
      </xdr:spPr>
    </xdr:pic>
    <xdr:clientData/>
  </xdr:twoCellAnchor>
  <xdr:twoCellAnchor>
    <xdr:from>
      <xdr:col>12</xdr:col>
      <xdr:colOff>443370</xdr:colOff>
      <xdr:row>50</xdr:row>
      <xdr:rowOff>17007</xdr:rowOff>
    </xdr:from>
    <xdr:to>
      <xdr:col>12</xdr:col>
      <xdr:colOff>875370</xdr:colOff>
      <xdr:row>50</xdr:row>
      <xdr:rowOff>449007</xdr:rowOff>
    </xdr:to>
    <xdr:pic>
      <xdr:nvPicPr>
        <xdr:cNvPr id="221" name="Picture 220">
          <a:extLst>
            <a:ext uri="{FF2B5EF4-FFF2-40B4-BE49-F238E27FC236}">
              <a16:creationId xmlns:a16="http://schemas.microsoft.com/office/drawing/2014/main" id="{8FFFF8BA-9E1F-444E-A72C-C67EBAB3C5BD}"/>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021799" y="19815400"/>
          <a:ext cx="432000" cy="432000"/>
        </a:xfrm>
        <a:prstGeom prst="rect">
          <a:avLst/>
        </a:prstGeom>
        <a:noFill/>
      </xdr:spPr>
    </xdr:pic>
    <xdr:clientData/>
  </xdr:twoCellAnchor>
  <xdr:twoCellAnchor>
    <xdr:from>
      <xdr:col>12</xdr:col>
      <xdr:colOff>457020</xdr:colOff>
      <xdr:row>51</xdr:row>
      <xdr:rowOff>30345</xdr:rowOff>
    </xdr:from>
    <xdr:to>
      <xdr:col>12</xdr:col>
      <xdr:colOff>889020</xdr:colOff>
      <xdr:row>51</xdr:row>
      <xdr:rowOff>452820</xdr:rowOff>
    </xdr:to>
    <xdr:pic>
      <xdr:nvPicPr>
        <xdr:cNvPr id="222" name="Picture 221">
          <a:extLst>
            <a:ext uri="{FF2B5EF4-FFF2-40B4-BE49-F238E27FC236}">
              <a16:creationId xmlns:a16="http://schemas.microsoft.com/office/drawing/2014/main" id="{5082CA1F-6291-4826-8C11-F4E9B166230D}"/>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035449" y="20284577"/>
          <a:ext cx="432000" cy="422475"/>
        </a:xfrm>
        <a:prstGeom prst="rect">
          <a:avLst/>
        </a:prstGeom>
        <a:ln>
          <a:solidFill>
            <a:schemeClr val="tx1"/>
          </a:solidFill>
        </a:ln>
      </xdr:spPr>
    </xdr:pic>
    <xdr:clientData/>
  </xdr:twoCellAnchor>
  <xdr:twoCellAnchor>
    <xdr:from>
      <xdr:col>9</xdr:col>
      <xdr:colOff>459105</xdr:colOff>
      <xdr:row>28</xdr:row>
      <xdr:rowOff>24990</xdr:rowOff>
    </xdr:from>
    <xdr:to>
      <xdr:col>9</xdr:col>
      <xdr:colOff>891105</xdr:colOff>
      <xdr:row>28</xdr:row>
      <xdr:rowOff>437940</xdr:rowOff>
    </xdr:to>
    <xdr:pic>
      <xdr:nvPicPr>
        <xdr:cNvPr id="223" name="Picture 222">
          <a:extLst>
            <a:ext uri="{FF2B5EF4-FFF2-40B4-BE49-F238E27FC236}">
              <a16:creationId xmlns:a16="http://schemas.microsoft.com/office/drawing/2014/main" id="{BB600FE3-D13E-4507-AC44-6E5AD9899D17}"/>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29</xdr:row>
      <xdr:rowOff>24990</xdr:rowOff>
    </xdr:from>
    <xdr:to>
      <xdr:col>9</xdr:col>
      <xdr:colOff>891105</xdr:colOff>
      <xdr:row>29</xdr:row>
      <xdr:rowOff>437940</xdr:rowOff>
    </xdr:to>
    <xdr:pic>
      <xdr:nvPicPr>
        <xdr:cNvPr id="224" name="Picture 223">
          <a:extLst>
            <a:ext uri="{FF2B5EF4-FFF2-40B4-BE49-F238E27FC236}">
              <a16:creationId xmlns:a16="http://schemas.microsoft.com/office/drawing/2014/main" id="{0FFF576D-68C6-4D5F-A602-7BE69DF17794}"/>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30</xdr:row>
      <xdr:rowOff>24990</xdr:rowOff>
    </xdr:from>
    <xdr:to>
      <xdr:col>9</xdr:col>
      <xdr:colOff>891105</xdr:colOff>
      <xdr:row>30</xdr:row>
      <xdr:rowOff>437940</xdr:rowOff>
    </xdr:to>
    <xdr:pic>
      <xdr:nvPicPr>
        <xdr:cNvPr id="225" name="Picture 224">
          <a:extLst>
            <a:ext uri="{FF2B5EF4-FFF2-40B4-BE49-F238E27FC236}">
              <a16:creationId xmlns:a16="http://schemas.microsoft.com/office/drawing/2014/main" id="{13A39F4E-C825-487D-A388-6232EA08308B}"/>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31</xdr:row>
      <xdr:rowOff>24990</xdr:rowOff>
    </xdr:from>
    <xdr:to>
      <xdr:col>9</xdr:col>
      <xdr:colOff>891105</xdr:colOff>
      <xdr:row>31</xdr:row>
      <xdr:rowOff>437940</xdr:rowOff>
    </xdr:to>
    <xdr:pic>
      <xdr:nvPicPr>
        <xdr:cNvPr id="226" name="Picture 225">
          <a:extLst>
            <a:ext uri="{FF2B5EF4-FFF2-40B4-BE49-F238E27FC236}">
              <a16:creationId xmlns:a16="http://schemas.microsoft.com/office/drawing/2014/main" id="{85A3E520-2B7C-4D55-9114-A498618B3447}"/>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32</xdr:row>
      <xdr:rowOff>24990</xdr:rowOff>
    </xdr:from>
    <xdr:to>
      <xdr:col>9</xdr:col>
      <xdr:colOff>891105</xdr:colOff>
      <xdr:row>32</xdr:row>
      <xdr:rowOff>437940</xdr:rowOff>
    </xdr:to>
    <xdr:pic>
      <xdr:nvPicPr>
        <xdr:cNvPr id="227" name="Picture 226">
          <a:extLst>
            <a:ext uri="{FF2B5EF4-FFF2-40B4-BE49-F238E27FC236}">
              <a16:creationId xmlns:a16="http://schemas.microsoft.com/office/drawing/2014/main" id="{AD2AB651-947A-458D-851D-F4C4C72B0BB6}"/>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33</xdr:row>
      <xdr:rowOff>24990</xdr:rowOff>
    </xdr:from>
    <xdr:to>
      <xdr:col>9</xdr:col>
      <xdr:colOff>891105</xdr:colOff>
      <xdr:row>33</xdr:row>
      <xdr:rowOff>437940</xdr:rowOff>
    </xdr:to>
    <xdr:pic>
      <xdr:nvPicPr>
        <xdr:cNvPr id="228" name="Picture 227">
          <a:extLst>
            <a:ext uri="{FF2B5EF4-FFF2-40B4-BE49-F238E27FC236}">
              <a16:creationId xmlns:a16="http://schemas.microsoft.com/office/drawing/2014/main" id="{1EC20DF7-893A-4B4B-91B7-C72AD5792668}"/>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34</xdr:row>
      <xdr:rowOff>24990</xdr:rowOff>
    </xdr:from>
    <xdr:to>
      <xdr:col>9</xdr:col>
      <xdr:colOff>891105</xdr:colOff>
      <xdr:row>34</xdr:row>
      <xdr:rowOff>437940</xdr:rowOff>
    </xdr:to>
    <xdr:pic>
      <xdr:nvPicPr>
        <xdr:cNvPr id="229" name="Picture 228">
          <a:extLst>
            <a:ext uri="{FF2B5EF4-FFF2-40B4-BE49-F238E27FC236}">
              <a16:creationId xmlns:a16="http://schemas.microsoft.com/office/drawing/2014/main" id="{75D824E3-88BC-46FD-B35A-C306D96DB492}"/>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35</xdr:row>
      <xdr:rowOff>24990</xdr:rowOff>
    </xdr:from>
    <xdr:to>
      <xdr:col>9</xdr:col>
      <xdr:colOff>891105</xdr:colOff>
      <xdr:row>35</xdr:row>
      <xdr:rowOff>437940</xdr:rowOff>
    </xdr:to>
    <xdr:pic>
      <xdr:nvPicPr>
        <xdr:cNvPr id="230" name="Picture 229">
          <a:extLst>
            <a:ext uri="{FF2B5EF4-FFF2-40B4-BE49-F238E27FC236}">
              <a16:creationId xmlns:a16="http://schemas.microsoft.com/office/drawing/2014/main" id="{C3E9A5A9-30D3-420C-B887-E74F56C7BC16}"/>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36</xdr:row>
      <xdr:rowOff>24990</xdr:rowOff>
    </xdr:from>
    <xdr:to>
      <xdr:col>9</xdr:col>
      <xdr:colOff>891105</xdr:colOff>
      <xdr:row>36</xdr:row>
      <xdr:rowOff>437940</xdr:rowOff>
    </xdr:to>
    <xdr:pic>
      <xdr:nvPicPr>
        <xdr:cNvPr id="231" name="Picture 230">
          <a:extLst>
            <a:ext uri="{FF2B5EF4-FFF2-40B4-BE49-F238E27FC236}">
              <a16:creationId xmlns:a16="http://schemas.microsoft.com/office/drawing/2014/main" id="{CC1AC692-19C7-488B-A5B0-E28E0D5337D7}"/>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37</xdr:row>
      <xdr:rowOff>24990</xdr:rowOff>
    </xdr:from>
    <xdr:to>
      <xdr:col>9</xdr:col>
      <xdr:colOff>891105</xdr:colOff>
      <xdr:row>37</xdr:row>
      <xdr:rowOff>437940</xdr:rowOff>
    </xdr:to>
    <xdr:pic>
      <xdr:nvPicPr>
        <xdr:cNvPr id="232" name="Picture 231">
          <a:extLst>
            <a:ext uri="{FF2B5EF4-FFF2-40B4-BE49-F238E27FC236}">
              <a16:creationId xmlns:a16="http://schemas.microsoft.com/office/drawing/2014/main" id="{2D255787-C447-497B-ADE8-AE8640A6D227}"/>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38</xdr:row>
      <xdr:rowOff>24990</xdr:rowOff>
    </xdr:from>
    <xdr:to>
      <xdr:col>9</xdr:col>
      <xdr:colOff>891105</xdr:colOff>
      <xdr:row>38</xdr:row>
      <xdr:rowOff>437940</xdr:rowOff>
    </xdr:to>
    <xdr:pic>
      <xdr:nvPicPr>
        <xdr:cNvPr id="233" name="Picture 232">
          <a:extLst>
            <a:ext uri="{FF2B5EF4-FFF2-40B4-BE49-F238E27FC236}">
              <a16:creationId xmlns:a16="http://schemas.microsoft.com/office/drawing/2014/main" id="{4C6CB197-2B97-4184-BE0F-8F50F69931E4}"/>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39</xdr:row>
      <xdr:rowOff>24990</xdr:rowOff>
    </xdr:from>
    <xdr:to>
      <xdr:col>9</xdr:col>
      <xdr:colOff>891105</xdr:colOff>
      <xdr:row>39</xdr:row>
      <xdr:rowOff>437940</xdr:rowOff>
    </xdr:to>
    <xdr:pic>
      <xdr:nvPicPr>
        <xdr:cNvPr id="234" name="Picture 233">
          <a:extLst>
            <a:ext uri="{FF2B5EF4-FFF2-40B4-BE49-F238E27FC236}">
              <a16:creationId xmlns:a16="http://schemas.microsoft.com/office/drawing/2014/main" id="{624FDA15-9C3F-453B-9022-4AE0C1DB12F1}"/>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40</xdr:row>
      <xdr:rowOff>24990</xdr:rowOff>
    </xdr:from>
    <xdr:to>
      <xdr:col>9</xdr:col>
      <xdr:colOff>891105</xdr:colOff>
      <xdr:row>40</xdr:row>
      <xdr:rowOff>437940</xdr:rowOff>
    </xdr:to>
    <xdr:pic>
      <xdr:nvPicPr>
        <xdr:cNvPr id="235" name="Picture 234">
          <a:extLst>
            <a:ext uri="{FF2B5EF4-FFF2-40B4-BE49-F238E27FC236}">
              <a16:creationId xmlns:a16="http://schemas.microsoft.com/office/drawing/2014/main" id="{06FDD21C-B942-4DE7-B171-CF32EE794173}"/>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41</xdr:row>
      <xdr:rowOff>24990</xdr:rowOff>
    </xdr:from>
    <xdr:to>
      <xdr:col>9</xdr:col>
      <xdr:colOff>891105</xdr:colOff>
      <xdr:row>41</xdr:row>
      <xdr:rowOff>437940</xdr:rowOff>
    </xdr:to>
    <xdr:pic>
      <xdr:nvPicPr>
        <xdr:cNvPr id="236" name="Picture 235">
          <a:extLst>
            <a:ext uri="{FF2B5EF4-FFF2-40B4-BE49-F238E27FC236}">
              <a16:creationId xmlns:a16="http://schemas.microsoft.com/office/drawing/2014/main" id="{263618EC-AB62-410A-8C4F-349A3D65CD68}"/>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42</xdr:row>
      <xdr:rowOff>24990</xdr:rowOff>
    </xdr:from>
    <xdr:to>
      <xdr:col>9</xdr:col>
      <xdr:colOff>891105</xdr:colOff>
      <xdr:row>42</xdr:row>
      <xdr:rowOff>437940</xdr:rowOff>
    </xdr:to>
    <xdr:pic>
      <xdr:nvPicPr>
        <xdr:cNvPr id="237" name="Picture 236">
          <a:extLst>
            <a:ext uri="{FF2B5EF4-FFF2-40B4-BE49-F238E27FC236}">
              <a16:creationId xmlns:a16="http://schemas.microsoft.com/office/drawing/2014/main" id="{82115463-17E1-4555-983F-D592422E78A7}"/>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43</xdr:row>
      <xdr:rowOff>24990</xdr:rowOff>
    </xdr:from>
    <xdr:to>
      <xdr:col>9</xdr:col>
      <xdr:colOff>891105</xdr:colOff>
      <xdr:row>43</xdr:row>
      <xdr:rowOff>437940</xdr:rowOff>
    </xdr:to>
    <xdr:pic>
      <xdr:nvPicPr>
        <xdr:cNvPr id="238" name="Picture 237">
          <a:extLst>
            <a:ext uri="{FF2B5EF4-FFF2-40B4-BE49-F238E27FC236}">
              <a16:creationId xmlns:a16="http://schemas.microsoft.com/office/drawing/2014/main" id="{051A58EA-D2EB-4EFA-BFD5-092A5E24C4BD}"/>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44</xdr:row>
      <xdr:rowOff>24990</xdr:rowOff>
    </xdr:from>
    <xdr:to>
      <xdr:col>9</xdr:col>
      <xdr:colOff>891105</xdr:colOff>
      <xdr:row>44</xdr:row>
      <xdr:rowOff>437940</xdr:rowOff>
    </xdr:to>
    <xdr:pic>
      <xdr:nvPicPr>
        <xdr:cNvPr id="239" name="Picture 238">
          <a:extLst>
            <a:ext uri="{FF2B5EF4-FFF2-40B4-BE49-F238E27FC236}">
              <a16:creationId xmlns:a16="http://schemas.microsoft.com/office/drawing/2014/main" id="{F62A31EB-0876-4058-AD6C-B416D79EAD3B}"/>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45</xdr:row>
      <xdr:rowOff>24990</xdr:rowOff>
    </xdr:from>
    <xdr:to>
      <xdr:col>9</xdr:col>
      <xdr:colOff>891105</xdr:colOff>
      <xdr:row>45</xdr:row>
      <xdr:rowOff>437940</xdr:rowOff>
    </xdr:to>
    <xdr:pic>
      <xdr:nvPicPr>
        <xdr:cNvPr id="240" name="Picture 239">
          <a:extLst>
            <a:ext uri="{FF2B5EF4-FFF2-40B4-BE49-F238E27FC236}">
              <a16:creationId xmlns:a16="http://schemas.microsoft.com/office/drawing/2014/main" id="{351D934A-AB16-477E-984C-4D95B9C2D43F}"/>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46</xdr:row>
      <xdr:rowOff>24990</xdr:rowOff>
    </xdr:from>
    <xdr:to>
      <xdr:col>9</xdr:col>
      <xdr:colOff>891105</xdr:colOff>
      <xdr:row>46</xdr:row>
      <xdr:rowOff>437940</xdr:rowOff>
    </xdr:to>
    <xdr:pic>
      <xdr:nvPicPr>
        <xdr:cNvPr id="241" name="Picture 240">
          <a:extLst>
            <a:ext uri="{FF2B5EF4-FFF2-40B4-BE49-F238E27FC236}">
              <a16:creationId xmlns:a16="http://schemas.microsoft.com/office/drawing/2014/main" id="{7CE2AF2F-B378-41FB-93DE-FF3E497262C5}"/>
            </a:ext>
          </a:extLst>
        </xdr:cNvPr>
        <xdr:cNvPicPr>
          <a:picLocks noChangeAspect="1"/>
        </xdr:cNvPicPr>
      </xdr:nvPicPr>
      <xdr:blipFill>
        <a:blip xmlns:r="http://schemas.openxmlformats.org/officeDocument/2006/relationships" r:embed="rId10"/>
        <a:stretch>
          <a:fillRect/>
        </a:stretch>
      </xdr:blipFill>
      <xdr:spPr>
        <a:xfrm>
          <a:off x="2037534" y="222294"/>
          <a:ext cx="432000" cy="412950"/>
        </a:xfrm>
        <a:prstGeom prst="rect">
          <a:avLst/>
        </a:prstGeom>
      </xdr:spPr>
    </xdr:pic>
    <xdr:clientData/>
  </xdr:twoCellAnchor>
  <xdr:twoCellAnchor>
    <xdr:from>
      <xdr:col>9</xdr:col>
      <xdr:colOff>459105</xdr:colOff>
      <xdr:row>47</xdr:row>
      <xdr:rowOff>24990</xdr:rowOff>
    </xdr:from>
    <xdr:to>
      <xdr:col>9</xdr:col>
      <xdr:colOff>891105</xdr:colOff>
      <xdr:row>47</xdr:row>
      <xdr:rowOff>437940</xdr:rowOff>
    </xdr:to>
    <xdr:pic>
      <xdr:nvPicPr>
        <xdr:cNvPr id="242" name="Picture 241">
          <a:extLst>
            <a:ext uri="{FF2B5EF4-FFF2-40B4-BE49-F238E27FC236}">
              <a16:creationId xmlns:a16="http://schemas.microsoft.com/office/drawing/2014/main" id="{2F0AE819-CE86-4451-81AD-11E280A68CB6}"/>
            </a:ext>
          </a:extLst>
        </xdr:cNvPr>
        <xdr:cNvPicPr>
          <a:picLocks noChangeAspect="1"/>
        </xdr:cNvPicPr>
      </xdr:nvPicPr>
      <xdr:blipFill>
        <a:blip xmlns:r="http://schemas.openxmlformats.org/officeDocument/2006/relationships" r:embed="rId10"/>
        <a:stretch>
          <a:fillRect/>
        </a:stretch>
      </xdr:blipFill>
      <xdr:spPr>
        <a:xfrm>
          <a:off x="2037534" y="8883240"/>
          <a:ext cx="432000" cy="412950"/>
        </a:xfrm>
        <a:prstGeom prst="rect">
          <a:avLst/>
        </a:prstGeom>
      </xdr:spPr>
    </xdr:pic>
    <xdr:clientData/>
  </xdr:twoCellAnchor>
  <xdr:twoCellAnchor>
    <xdr:from>
      <xdr:col>9</xdr:col>
      <xdr:colOff>459105</xdr:colOff>
      <xdr:row>48</xdr:row>
      <xdr:rowOff>24990</xdr:rowOff>
    </xdr:from>
    <xdr:to>
      <xdr:col>9</xdr:col>
      <xdr:colOff>891105</xdr:colOff>
      <xdr:row>48</xdr:row>
      <xdr:rowOff>437940</xdr:rowOff>
    </xdr:to>
    <xdr:pic>
      <xdr:nvPicPr>
        <xdr:cNvPr id="243" name="Picture 242">
          <a:extLst>
            <a:ext uri="{FF2B5EF4-FFF2-40B4-BE49-F238E27FC236}">
              <a16:creationId xmlns:a16="http://schemas.microsoft.com/office/drawing/2014/main" id="{3B86401B-93E5-4863-BEAF-174C3D02534C}"/>
            </a:ext>
          </a:extLst>
        </xdr:cNvPr>
        <xdr:cNvPicPr>
          <a:picLocks noChangeAspect="1"/>
        </xdr:cNvPicPr>
      </xdr:nvPicPr>
      <xdr:blipFill>
        <a:blip xmlns:r="http://schemas.openxmlformats.org/officeDocument/2006/relationships" r:embed="rId10"/>
        <a:stretch>
          <a:fillRect/>
        </a:stretch>
      </xdr:blipFill>
      <xdr:spPr>
        <a:xfrm>
          <a:off x="2037534" y="8883240"/>
          <a:ext cx="432000" cy="412950"/>
        </a:xfrm>
        <a:prstGeom prst="rect">
          <a:avLst/>
        </a:prstGeom>
      </xdr:spPr>
    </xdr:pic>
    <xdr:clientData/>
  </xdr:twoCellAnchor>
  <xdr:twoCellAnchor>
    <xdr:from>
      <xdr:col>9</xdr:col>
      <xdr:colOff>459105</xdr:colOff>
      <xdr:row>49</xdr:row>
      <xdr:rowOff>24990</xdr:rowOff>
    </xdr:from>
    <xdr:to>
      <xdr:col>9</xdr:col>
      <xdr:colOff>891105</xdr:colOff>
      <xdr:row>49</xdr:row>
      <xdr:rowOff>437940</xdr:rowOff>
    </xdr:to>
    <xdr:pic>
      <xdr:nvPicPr>
        <xdr:cNvPr id="244" name="Picture 243">
          <a:extLst>
            <a:ext uri="{FF2B5EF4-FFF2-40B4-BE49-F238E27FC236}">
              <a16:creationId xmlns:a16="http://schemas.microsoft.com/office/drawing/2014/main" id="{67397A24-1EE2-4D5E-99B3-A774B9122E03}"/>
            </a:ext>
          </a:extLst>
        </xdr:cNvPr>
        <xdr:cNvPicPr>
          <a:picLocks noChangeAspect="1"/>
        </xdr:cNvPicPr>
      </xdr:nvPicPr>
      <xdr:blipFill>
        <a:blip xmlns:r="http://schemas.openxmlformats.org/officeDocument/2006/relationships" r:embed="rId10"/>
        <a:stretch>
          <a:fillRect/>
        </a:stretch>
      </xdr:blipFill>
      <xdr:spPr>
        <a:xfrm>
          <a:off x="2037534" y="8883240"/>
          <a:ext cx="432000" cy="412950"/>
        </a:xfrm>
        <a:prstGeom prst="rect">
          <a:avLst/>
        </a:prstGeom>
      </xdr:spPr>
    </xdr:pic>
    <xdr:clientData/>
  </xdr:twoCellAnchor>
  <xdr:twoCellAnchor>
    <xdr:from>
      <xdr:col>9</xdr:col>
      <xdr:colOff>459105</xdr:colOff>
      <xdr:row>50</xdr:row>
      <xdr:rowOff>24990</xdr:rowOff>
    </xdr:from>
    <xdr:to>
      <xdr:col>9</xdr:col>
      <xdr:colOff>891105</xdr:colOff>
      <xdr:row>50</xdr:row>
      <xdr:rowOff>437940</xdr:rowOff>
    </xdr:to>
    <xdr:pic>
      <xdr:nvPicPr>
        <xdr:cNvPr id="245" name="Picture 244">
          <a:extLst>
            <a:ext uri="{FF2B5EF4-FFF2-40B4-BE49-F238E27FC236}">
              <a16:creationId xmlns:a16="http://schemas.microsoft.com/office/drawing/2014/main" id="{8CD4A409-A055-4632-A155-097A705A178B}"/>
            </a:ext>
          </a:extLst>
        </xdr:cNvPr>
        <xdr:cNvPicPr>
          <a:picLocks noChangeAspect="1"/>
        </xdr:cNvPicPr>
      </xdr:nvPicPr>
      <xdr:blipFill>
        <a:blip xmlns:r="http://schemas.openxmlformats.org/officeDocument/2006/relationships" r:embed="rId10"/>
        <a:stretch>
          <a:fillRect/>
        </a:stretch>
      </xdr:blipFill>
      <xdr:spPr>
        <a:xfrm>
          <a:off x="2037534" y="8883240"/>
          <a:ext cx="432000" cy="412950"/>
        </a:xfrm>
        <a:prstGeom prst="rect">
          <a:avLst/>
        </a:prstGeom>
      </xdr:spPr>
    </xdr:pic>
    <xdr:clientData/>
  </xdr:twoCellAnchor>
  <xdr:twoCellAnchor>
    <xdr:from>
      <xdr:col>9</xdr:col>
      <xdr:colOff>459105</xdr:colOff>
      <xdr:row>51</xdr:row>
      <xdr:rowOff>24990</xdr:rowOff>
    </xdr:from>
    <xdr:to>
      <xdr:col>9</xdr:col>
      <xdr:colOff>891105</xdr:colOff>
      <xdr:row>51</xdr:row>
      <xdr:rowOff>437940</xdr:rowOff>
    </xdr:to>
    <xdr:pic>
      <xdr:nvPicPr>
        <xdr:cNvPr id="246" name="Picture 245">
          <a:extLst>
            <a:ext uri="{FF2B5EF4-FFF2-40B4-BE49-F238E27FC236}">
              <a16:creationId xmlns:a16="http://schemas.microsoft.com/office/drawing/2014/main" id="{F75B667C-E058-4CFB-82C0-047FDEE8E4D8}"/>
            </a:ext>
          </a:extLst>
        </xdr:cNvPr>
        <xdr:cNvPicPr>
          <a:picLocks noChangeAspect="1"/>
        </xdr:cNvPicPr>
      </xdr:nvPicPr>
      <xdr:blipFill>
        <a:blip xmlns:r="http://schemas.openxmlformats.org/officeDocument/2006/relationships" r:embed="rId10"/>
        <a:stretch>
          <a:fillRect/>
        </a:stretch>
      </xdr:blipFill>
      <xdr:spPr>
        <a:xfrm>
          <a:off x="2037534" y="8883240"/>
          <a:ext cx="432000" cy="412950"/>
        </a:xfrm>
        <a:prstGeom prst="rect">
          <a:avLst/>
        </a:prstGeom>
      </xdr:spPr>
    </xdr:pic>
    <xdr:clientData/>
  </xdr:twoCellAnchor>
  <xdr:twoCellAnchor>
    <xdr:from>
      <xdr:col>12</xdr:col>
      <xdr:colOff>448878</xdr:colOff>
      <xdr:row>52</xdr:row>
      <xdr:rowOff>23131</xdr:rowOff>
    </xdr:from>
    <xdr:to>
      <xdr:col>12</xdr:col>
      <xdr:colOff>880878</xdr:colOff>
      <xdr:row>52</xdr:row>
      <xdr:rowOff>455131</xdr:rowOff>
    </xdr:to>
    <xdr:pic>
      <xdr:nvPicPr>
        <xdr:cNvPr id="247" name="Picture 246">
          <a:extLst>
            <a:ext uri="{FF2B5EF4-FFF2-40B4-BE49-F238E27FC236}">
              <a16:creationId xmlns:a16="http://schemas.microsoft.com/office/drawing/2014/main" id="{BAFAC2B3-47D0-424B-8A39-D931198CAD9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5068503" y="2043792"/>
          <a:ext cx="432000" cy="432000"/>
        </a:xfrm>
        <a:prstGeom prst="rect">
          <a:avLst/>
        </a:prstGeom>
        <a:noFill/>
        <a:ln>
          <a:noFill/>
        </a:ln>
      </xdr:spPr>
    </xdr:pic>
    <xdr:clientData/>
  </xdr:twoCellAnchor>
  <xdr:twoCellAnchor>
    <xdr:from>
      <xdr:col>12</xdr:col>
      <xdr:colOff>442982</xdr:colOff>
      <xdr:row>56</xdr:row>
      <xdr:rowOff>16328</xdr:rowOff>
    </xdr:from>
    <xdr:to>
      <xdr:col>12</xdr:col>
      <xdr:colOff>874367</xdr:colOff>
      <xdr:row>56</xdr:row>
      <xdr:rowOff>448328</xdr:rowOff>
    </xdr:to>
    <xdr:pic>
      <xdr:nvPicPr>
        <xdr:cNvPr id="248" name="Picture 247">
          <a:extLst>
            <a:ext uri="{FF2B5EF4-FFF2-40B4-BE49-F238E27FC236}">
              <a16:creationId xmlns:a16="http://schemas.microsoft.com/office/drawing/2014/main" id="{A7A75A8D-B051-4595-91B5-3FC37D492E4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62607" y="3860346"/>
          <a:ext cx="431385" cy="432000"/>
        </a:xfrm>
        <a:prstGeom prst="rect">
          <a:avLst/>
        </a:prstGeom>
      </xdr:spPr>
    </xdr:pic>
    <xdr:clientData/>
  </xdr:twoCellAnchor>
  <xdr:twoCellAnchor>
    <xdr:from>
      <xdr:col>12</xdr:col>
      <xdr:colOff>399596</xdr:colOff>
      <xdr:row>53</xdr:row>
      <xdr:rowOff>21636</xdr:rowOff>
    </xdr:from>
    <xdr:to>
      <xdr:col>12</xdr:col>
      <xdr:colOff>831596</xdr:colOff>
      <xdr:row>53</xdr:row>
      <xdr:rowOff>444111</xdr:rowOff>
    </xdr:to>
    <xdr:pic>
      <xdr:nvPicPr>
        <xdr:cNvPr id="249" name="Picture 248">
          <a:extLst>
            <a:ext uri="{FF2B5EF4-FFF2-40B4-BE49-F238E27FC236}">
              <a16:creationId xmlns:a16="http://schemas.microsoft.com/office/drawing/2014/main" id="{4BB334B4-CF61-426B-A90A-13286424069A}"/>
            </a:ext>
          </a:extLst>
        </xdr:cNvPr>
        <xdr:cNvPicPr>
          <a:picLocks noChangeAspect="1"/>
        </xdr:cNvPicPr>
      </xdr:nvPicPr>
      <xdr:blipFill>
        <a:blip xmlns:r="http://schemas.openxmlformats.org/officeDocument/2006/relationships" r:embed="rId12"/>
        <a:stretch>
          <a:fillRect/>
        </a:stretch>
      </xdr:blipFill>
      <xdr:spPr>
        <a:xfrm>
          <a:off x="5019221" y="2498136"/>
          <a:ext cx="432000" cy="422475"/>
        </a:xfrm>
        <a:prstGeom prst="rect">
          <a:avLst/>
        </a:prstGeom>
      </xdr:spPr>
    </xdr:pic>
    <xdr:clientData/>
  </xdr:twoCellAnchor>
  <xdr:twoCellAnchor>
    <xdr:from>
      <xdr:col>12</xdr:col>
      <xdr:colOff>432255</xdr:colOff>
      <xdr:row>55</xdr:row>
      <xdr:rowOff>17235</xdr:rowOff>
    </xdr:from>
    <xdr:to>
      <xdr:col>12</xdr:col>
      <xdr:colOff>864372</xdr:colOff>
      <xdr:row>55</xdr:row>
      <xdr:rowOff>449235</xdr:rowOff>
    </xdr:to>
    <xdr:pic>
      <xdr:nvPicPr>
        <xdr:cNvPr id="250" name="Picture 249">
          <a:extLst>
            <a:ext uri="{FF2B5EF4-FFF2-40B4-BE49-F238E27FC236}">
              <a16:creationId xmlns:a16="http://schemas.microsoft.com/office/drawing/2014/main" id="{1D77E6F7-7978-4BCE-9C83-2411E768560E}"/>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051880" y="3405414"/>
          <a:ext cx="432117" cy="432000"/>
        </a:xfrm>
        <a:prstGeom prst="rect">
          <a:avLst/>
        </a:prstGeom>
      </xdr:spPr>
    </xdr:pic>
    <xdr:clientData/>
  </xdr:twoCellAnchor>
  <xdr:twoCellAnchor>
    <xdr:from>
      <xdr:col>12</xdr:col>
      <xdr:colOff>423181</xdr:colOff>
      <xdr:row>54</xdr:row>
      <xdr:rowOff>17237</xdr:rowOff>
    </xdr:from>
    <xdr:to>
      <xdr:col>12</xdr:col>
      <xdr:colOff>855181</xdr:colOff>
      <xdr:row>54</xdr:row>
      <xdr:rowOff>439712</xdr:rowOff>
    </xdr:to>
    <xdr:pic>
      <xdr:nvPicPr>
        <xdr:cNvPr id="251" name="Picture 250">
          <a:extLst>
            <a:ext uri="{FF2B5EF4-FFF2-40B4-BE49-F238E27FC236}">
              <a16:creationId xmlns:a16="http://schemas.microsoft.com/office/drawing/2014/main" id="{CB7BABDF-C07A-4801-A352-2D252B0F6B5F}"/>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042806" y="2949576"/>
          <a:ext cx="432000" cy="422475"/>
        </a:xfrm>
        <a:prstGeom prst="rect">
          <a:avLst/>
        </a:prstGeom>
      </xdr:spPr>
    </xdr:pic>
    <xdr:clientData/>
  </xdr:twoCellAnchor>
  <xdr:twoCellAnchor>
    <xdr:from>
      <xdr:col>12</xdr:col>
      <xdr:colOff>447902</xdr:colOff>
      <xdr:row>57</xdr:row>
      <xdr:rowOff>17690</xdr:rowOff>
    </xdr:from>
    <xdr:to>
      <xdr:col>12</xdr:col>
      <xdr:colOff>879902</xdr:colOff>
      <xdr:row>57</xdr:row>
      <xdr:rowOff>439792</xdr:rowOff>
    </xdr:to>
    <xdr:pic>
      <xdr:nvPicPr>
        <xdr:cNvPr id="252" name="Picture 251">
          <a:extLst>
            <a:ext uri="{FF2B5EF4-FFF2-40B4-BE49-F238E27FC236}">
              <a16:creationId xmlns:a16="http://schemas.microsoft.com/office/drawing/2014/main" id="{62DC84CA-D670-42C9-8633-D3A19A51A9CD}"/>
            </a:ext>
          </a:extLst>
        </xdr:cNvPr>
        <xdr:cNvPicPr>
          <a:picLocks noChangeAspect="1"/>
        </xdr:cNvPicPr>
      </xdr:nvPicPr>
      <xdr:blipFill>
        <a:blip xmlns:r="http://schemas.openxmlformats.org/officeDocument/2006/relationships" r:embed="rId15"/>
        <a:stretch>
          <a:fillRect/>
        </a:stretch>
      </xdr:blipFill>
      <xdr:spPr>
        <a:xfrm>
          <a:off x="5067527" y="4317547"/>
          <a:ext cx="432000" cy="422102"/>
        </a:xfrm>
        <a:prstGeom prst="rect">
          <a:avLst/>
        </a:prstGeom>
      </xdr:spPr>
    </xdr:pic>
    <xdr:clientData/>
  </xdr:twoCellAnchor>
  <xdr:twoCellAnchor>
    <xdr:from>
      <xdr:col>12</xdr:col>
      <xdr:colOff>447901</xdr:colOff>
      <xdr:row>58</xdr:row>
      <xdr:rowOff>20411</xdr:rowOff>
    </xdr:from>
    <xdr:to>
      <xdr:col>12</xdr:col>
      <xdr:colOff>879901</xdr:colOff>
      <xdr:row>58</xdr:row>
      <xdr:rowOff>452038</xdr:rowOff>
    </xdr:to>
    <xdr:pic>
      <xdr:nvPicPr>
        <xdr:cNvPr id="253" name="Picture 252">
          <a:extLst>
            <a:ext uri="{FF2B5EF4-FFF2-40B4-BE49-F238E27FC236}">
              <a16:creationId xmlns:a16="http://schemas.microsoft.com/office/drawing/2014/main" id="{3884569B-2DA3-45D1-AF05-EA630872B7C8}"/>
            </a:ext>
          </a:extLst>
        </xdr:cNvPr>
        <xdr:cNvPicPr>
          <a:picLocks noChangeAspect="1"/>
        </xdr:cNvPicPr>
      </xdr:nvPicPr>
      <xdr:blipFill>
        <a:blip xmlns:r="http://schemas.openxmlformats.org/officeDocument/2006/relationships" r:embed="rId15"/>
        <a:stretch>
          <a:fillRect/>
        </a:stretch>
      </xdr:blipFill>
      <xdr:spPr>
        <a:xfrm>
          <a:off x="5067526" y="4776107"/>
          <a:ext cx="432000" cy="431627"/>
        </a:xfrm>
        <a:prstGeom prst="rect">
          <a:avLst/>
        </a:prstGeom>
      </xdr:spPr>
    </xdr:pic>
    <xdr:clientData/>
  </xdr:twoCellAnchor>
  <xdr:twoCellAnchor>
    <xdr:from>
      <xdr:col>12</xdr:col>
      <xdr:colOff>442075</xdr:colOff>
      <xdr:row>60</xdr:row>
      <xdr:rowOff>12109</xdr:rowOff>
    </xdr:from>
    <xdr:to>
      <xdr:col>12</xdr:col>
      <xdr:colOff>874075</xdr:colOff>
      <xdr:row>60</xdr:row>
      <xdr:rowOff>444806</xdr:rowOff>
    </xdr:to>
    <xdr:pic>
      <xdr:nvPicPr>
        <xdr:cNvPr id="254" name="Picture 253">
          <a:extLst>
            <a:ext uri="{FF2B5EF4-FFF2-40B4-BE49-F238E27FC236}">
              <a16:creationId xmlns:a16="http://schemas.microsoft.com/office/drawing/2014/main" id="{2BAAE4D7-BC6F-434E-B3CA-DB89FBE4B0E3}"/>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61700" y="5679484"/>
          <a:ext cx="432000" cy="432697"/>
        </a:xfrm>
        <a:prstGeom prst="rect">
          <a:avLst/>
        </a:prstGeom>
        <a:noFill/>
      </xdr:spPr>
    </xdr:pic>
    <xdr:clientData/>
  </xdr:twoCellAnchor>
  <xdr:twoCellAnchor>
    <xdr:from>
      <xdr:col>12</xdr:col>
      <xdr:colOff>433003</xdr:colOff>
      <xdr:row>61</xdr:row>
      <xdr:rowOff>21270</xdr:rowOff>
    </xdr:from>
    <xdr:to>
      <xdr:col>12</xdr:col>
      <xdr:colOff>865003</xdr:colOff>
      <xdr:row>61</xdr:row>
      <xdr:rowOff>443745</xdr:rowOff>
    </xdr:to>
    <xdr:pic>
      <xdr:nvPicPr>
        <xdr:cNvPr id="255" name="Picture 254">
          <a:extLst>
            <a:ext uri="{FF2B5EF4-FFF2-40B4-BE49-F238E27FC236}">
              <a16:creationId xmlns:a16="http://schemas.microsoft.com/office/drawing/2014/main" id="{CECE88E5-DA31-4A25-9F61-047082401604}"/>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52628" y="6144484"/>
          <a:ext cx="432000" cy="422475"/>
        </a:xfrm>
        <a:prstGeom prst="rect">
          <a:avLst/>
        </a:prstGeom>
        <a:noFill/>
      </xdr:spPr>
    </xdr:pic>
    <xdr:clientData/>
  </xdr:twoCellAnchor>
  <xdr:twoCellAnchor>
    <xdr:from>
      <xdr:col>12</xdr:col>
      <xdr:colOff>445477</xdr:colOff>
      <xdr:row>59</xdr:row>
      <xdr:rowOff>22677</xdr:rowOff>
    </xdr:from>
    <xdr:to>
      <xdr:col>12</xdr:col>
      <xdr:colOff>877477</xdr:colOff>
      <xdr:row>59</xdr:row>
      <xdr:rowOff>445152</xdr:rowOff>
    </xdr:to>
    <xdr:pic>
      <xdr:nvPicPr>
        <xdr:cNvPr id="256" name="Picture 255">
          <a:extLst>
            <a:ext uri="{FF2B5EF4-FFF2-40B4-BE49-F238E27FC236}">
              <a16:creationId xmlns:a16="http://schemas.microsoft.com/office/drawing/2014/main" id="{47A3B7EF-9AFB-4B50-A1F8-895C08A39ED5}"/>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5102" y="5234213"/>
          <a:ext cx="432000" cy="422475"/>
        </a:xfrm>
        <a:prstGeom prst="rect">
          <a:avLst/>
        </a:prstGeom>
        <a:noFill/>
      </xdr:spPr>
    </xdr:pic>
    <xdr:clientData/>
  </xdr:twoCellAnchor>
  <xdr:twoCellAnchor>
    <xdr:from>
      <xdr:col>12</xdr:col>
      <xdr:colOff>442232</xdr:colOff>
      <xdr:row>62</xdr:row>
      <xdr:rowOff>15874</xdr:rowOff>
    </xdr:from>
    <xdr:to>
      <xdr:col>12</xdr:col>
      <xdr:colOff>874232</xdr:colOff>
      <xdr:row>62</xdr:row>
      <xdr:rowOff>447874</xdr:rowOff>
    </xdr:to>
    <xdr:pic>
      <xdr:nvPicPr>
        <xdr:cNvPr id="257" name="Picture 256">
          <a:extLst>
            <a:ext uri="{FF2B5EF4-FFF2-40B4-BE49-F238E27FC236}">
              <a16:creationId xmlns:a16="http://schemas.microsoft.com/office/drawing/2014/main" id="{203A83EC-7C9A-482C-912C-44BB7237A10C}"/>
            </a:ext>
          </a:extLst>
        </xdr:cNvPr>
        <xdr:cNvPicPr>
          <a:picLocks noChangeAspect="1"/>
        </xdr:cNvPicPr>
      </xdr:nvPicPr>
      <xdr:blipFill>
        <a:blip xmlns:r="http://schemas.openxmlformats.org/officeDocument/2006/relationships" r:embed="rId19"/>
        <a:stretch>
          <a:fillRect/>
        </a:stretch>
      </xdr:blipFill>
      <xdr:spPr>
        <a:xfrm>
          <a:off x="5061857" y="6594928"/>
          <a:ext cx="432000" cy="432000"/>
        </a:xfrm>
        <a:prstGeom prst="rect">
          <a:avLst/>
        </a:prstGeom>
      </xdr:spPr>
    </xdr:pic>
    <xdr:clientData/>
  </xdr:twoCellAnchor>
  <xdr:twoCellAnchor>
    <xdr:from>
      <xdr:col>12</xdr:col>
      <xdr:colOff>450013</xdr:colOff>
      <xdr:row>63</xdr:row>
      <xdr:rowOff>21543</xdr:rowOff>
    </xdr:from>
    <xdr:to>
      <xdr:col>12</xdr:col>
      <xdr:colOff>882013</xdr:colOff>
      <xdr:row>63</xdr:row>
      <xdr:rowOff>453543</xdr:rowOff>
    </xdr:to>
    <xdr:pic>
      <xdr:nvPicPr>
        <xdr:cNvPr id="258" name="Picture 257" descr="hair protection">
          <a:extLst>
            <a:ext uri="{FF2B5EF4-FFF2-40B4-BE49-F238E27FC236}">
              <a16:creationId xmlns:a16="http://schemas.microsoft.com/office/drawing/2014/main" id="{EFAAE61D-BFD8-4B09-A1ED-C5C04E785044}"/>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9638" y="7056436"/>
          <a:ext cx="432000" cy="432000"/>
        </a:xfrm>
        <a:prstGeom prst="rect">
          <a:avLst/>
        </a:prstGeom>
        <a:noFill/>
        <a:ln>
          <a:noFill/>
        </a:ln>
      </xdr:spPr>
    </xdr:pic>
    <xdr:clientData/>
  </xdr:twoCellAnchor>
  <xdr:twoCellAnchor>
    <xdr:from>
      <xdr:col>12</xdr:col>
      <xdr:colOff>430735</xdr:colOff>
      <xdr:row>64</xdr:row>
      <xdr:rowOff>23811</xdr:rowOff>
    </xdr:from>
    <xdr:to>
      <xdr:col>12</xdr:col>
      <xdr:colOff>862735</xdr:colOff>
      <xdr:row>64</xdr:row>
      <xdr:rowOff>446286</xdr:rowOff>
    </xdr:to>
    <xdr:pic>
      <xdr:nvPicPr>
        <xdr:cNvPr id="259" name="Picture 258" descr="head protection">
          <a:extLst>
            <a:ext uri="{FF2B5EF4-FFF2-40B4-BE49-F238E27FC236}">
              <a16:creationId xmlns:a16="http://schemas.microsoft.com/office/drawing/2014/main" id="{D2166FB0-38A8-439A-9A37-0F8E47874A51}"/>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50360" y="7514543"/>
          <a:ext cx="432000" cy="422475"/>
        </a:xfrm>
        <a:prstGeom prst="rect">
          <a:avLst/>
        </a:prstGeom>
        <a:noFill/>
        <a:ln>
          <a:noFill/>
        </a:ln>
      </xdr:spPr>
    </xdr:pic>
    <xdr:clientData/>
  </xdr:twoCellAnchor>
  <xdr:twoCellAnchor>
    <xdr:from>
      <xdr:col>12</xdr:col>
      <xdr:colOff>481990</xdr:colOff>
      <xdr:row>67</xdr:row>
      <xdr:rowOff>20408</xdr:rowOff>
    </xdr:from>
    <xdr:to>
      <xdr:col>12</xdr:col>
      <xdr:colOff>913990</xdr:colOff>
      <xdr:row>67</xdr:row>
      <xdr:rowOff>442883</xdr:rowOff>
    </xdr:to>
    <xdr:pic>
      <xdr:nvPicPr>
        <xdr:cNvPr id="260" name="Picture 259">
          <a:extLst>
            <a:ext uri="{FF2B5EF4-FFF2-40B4-BE49-F238E27FC236}">
              <a16:creationId xmlns:a16="http://schemas.microsoft.com/office/drawing/2014/main" id="{D0FBC113-9591-4247-8D4D-806247817FC5}"/>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101615" y="8878658"/>
          <a:ext cx="432000" cy="422475"/>
        </a:xfrm>
        <a:prstGeom prst="rect">
          <a:avLst/>
        </a:prstGeom>
        <a:noFill/>
        <a:ln>
          <a:noFill/>
        </a:ln>
      </xdr:spPr>
    </xdr:pic>
    <xdr:clientData/>
  </xdr:twoCellAnchor>
  <xdr:twoCellAnchor>
    <xdr:from>
      <xdr:col>12</xdr:col>
      <xdr:colOff>476094</xdr:colOff>
      <xdr:row>69</xdr:row>
      <xdr:rowOff>18142</xdr:rowOff>
    </xdr:from>
    <xdr:to>
      <xdr:col>12</xdr:col>
      <xdr:colOff>908094</xdr:colOff>
      <xdr:row>69</xdr:row>
      <xdr:rowOff>440617</xdr:rowOff>
    </xdr:to>
    <xdr:pic>
      <xdr:nvPicPr>
        <xdr:cNvPr id="261" name="Picture 260" descr="safety vests">
          <a:extLst>
            <a:ext uri="{FF2B5EF4-FFF2-40B4-BE49-F238E27FC236}">
              <a16:creationId xmlns:a16="http://schemas.microsoft.com/office/drawing/2014/main" id="{026A26DF-97BB-4D7F-AC4E-0BA56EC5C495}"/>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095719" y="9788071"/>
          <a:ext cx="432000" cy="422475"/>
        </a:xfrm>
        <a:prstGeom prst="rect">
          <a:avLst/>
        </a:prstGeom>
        <a:noFill/>
        <a:ln>
          <a:noFill/>
        </a:ln>
      </xdr:spPr>
    </xdr:pic>
    <xdr:clientData/>
  </xdr:twoCellAnchor>
  <xdr:twoCellAnchor>
    <xdr:from>
      <xdr:col>12</xdr:col>
      <xdr:colOff>479048</xdr:colOff>
      <xdr:row>65</xdr:row>
      <xdr:rowOff>18541</xdr:rowOff>
    </xdr:from>
    <xdr:to>
      <xdr:col>12</xdr:col>
      <xdr:colOff>911048</xdr:colOff>
      <xdr:row>65</xdr:row>
      <xdr:rowOff>441016</xdr:rowOff>
    </xdr:to>
    <xdr:pic>
      <xdr:nvPicPr>
        <xdr:cNvPr id="262" name="Picture 261">
          <a:extLst>
            <a:ext uri="{FF2B5EF4-FFF2-40B4-BE49-F238E27FC236}">
              <a16:creationId xmlns:a16="http://schemas.microsoft.com/office/drawing/2014/main" id="{82F89339-3747-4E3E-9FC2-25B9E35565F4}"/>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98673" y="7965112"/>
          <a:ext cx="432000" cy="422475"/>
        </a:xfrm>
        <a:prstGeom prst="rect">
          <a:avLst/>
        </a:prstGeom>
        <a:noFill/>
      </xdr:spPr>
    </xdr:pic>
    <xdr:clientData/>
  </xdr:twoCellAnchor>
  <xdr:twoCellAnchor>
    <xdr:from>
      <xdr:col>12</xdr:col>
      <xdr:colOff>472691</xdr:colOff>
      <xdr:row>66</xdr:row>
      <xdr:rowOff>20410</xdr:rowOff>
    </xdr:from>
    <xdr:to>
      <xdr:col>12</xdr:col>
      <xdr:colOff>905440</xdr:colOff>
      <xdr:row>66</xdr:row>
      <xdr:rowOff>452410</xdr:rowOff>
    </xdr:to>
    <xdr:pic>
      <xdr:nvPicPr>
        <xdr:cNvPr id="263" name="Picture 262">
          <a:extLst>
            <a:ext uri="{FF2B5EF4-FFF2-40B4-BE49-F238E27FC236}">
              <a16:creationId xmlns:a16="http://schemas.microsoft.com/office/drawing/2014/main" id="{B109A628-830A-4DBD-BC73-B3A7852DF7D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092316" y="8422821"/>
          <a:ext cx="432749" cy="432000"/>
        </a:xfrm>
        <a:prstGeom prst="rect">
          <a:avLst/>
        </a:prstGeom>
      </xdr:spPr>
    </xdr:pic>
    <xdr:clientData/>
  </xdr:twoCellAnchor>
  <xdr:twoCellAnchor>
    <xdr:from>
      <xdr:col>12</xdr:col>
      <xdr:colOff>476250</xdr:colOff>
      <xdr:row>68</xdr:row>
      <xdr:rowOff>17010</xdr:rowOff>
    </xdr:from>
    <xdr:to>
      <xdr:col>12</xdr:col>
      <xdr:colOff>908250</xdr:colOff>
      <xdr:row>68</xdr:row>
      <xdr:rowOff>449010</xdr:rowOff>
    </xdr:to>
    <xdr:pic>
      <xdr:nvPicPr>
        <xdr:cNvPr id="264" name="Picture 263">
          <a:extLst>
            <a:ext uri="{FF2B5EF4-FFF2-40B4-BE49-F238E27FC236}">
              <a16:creationId xmlns:a16="http://schemas.microsoft.com/office/drawing/2014/main" id="{410BD9C6-95E1-4FAA-86D6-590DE8FC7D87}"/>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095875" y="9331099"/>
          <a:ext cx="432000" cy="432000"/>
        </a:xfrm>
        <a:prstGeom prst="rect">
          <a:avLst/>
        </a:prstGeom>
      </xdr:spPr>
    </xdr:pic>
    <xdr:clientData/>
  </xdr:twoCellAnchor>
  <xdr:twoCellAnchor>
    <xdr:from>
      <xdr:col>12</xdr:col>
      <xdr:colOff>436563</xdr:colOff>
      <xdr:row>70</xdr:row>
      <xdr:rowOff>17008</xdr:rowOff>
    </xdr:from>
    <xdr:to>
      <xdr:col>12</xdr:col>
      <xdr:colOff>868563</xdr:colOff>
      <xdr:row>70</xdr:row>
      <xdr:rowOff>449008</xdr:rowOff>
    </xdr:to>
    <xdr:pic>
      <xdr:nvPicPr>
        <xdr:cNvPr id="265" name="Picture 264">
          <a:extLst>
            <a:ext uri="{FF2B5EF4-FFF2-40B4-BE49-F238E27FC236}">
              <a16:creationId xmlns:a16="http://schemas.microsoft.com/office/drawing/2014/main" id="{46FBD2E6-C569-4D8C-8B46-D121307D1419}"/>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056188" y="10242776"/>
          <a:ext cx="432000" cy="432000"/>
        </a:xfrm>
        <a:prstGeom prst="rect">
          <a:avLst/>
        </a:prstGeom>
      </xdr:spPr>
    </xdr:pic>
    <xdr:clientData/>
  </xdr:twoCellAnchor>
  <xdr:twoCellAnchor>
    <xdr:from>
      <xdr:col>12</xdr:col>
      <xdr:colOff>443370</xdr:colOff>
      <xdr:row>71</xdr:row>
      <xdr:rowOff>17007</xdr:rowOff>
    </xdr:from>
    <xdr:to>
      <xdr:col>12</xdr:col>
      <xdr:colOff>875370</xdr:colOff>
      <xdr:row>71</xdr:row>
      <xdr:rowOff>449007</xdr:rowOff>
    </xdr:to>
    <xdr:pic>
      <xdr:nvPicPr>
        <xdr:cNvPr id="266" name="Picture 265">
          <a:extLst>
            <a:ext uri="{FF2B5EF4-FFF2-40B4-BE49-F238E27FC236}">
              <a16:creationId xmlns:a16="http://schemas.microsoft.com/office/drawing/2014/main" id="{9E11CBA8-4EE8-46F6-909E-24E102DA2CF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062995" y="10698614"/>
          <a:ext cx="432000" cy="432000"/>
        </a:xfrm>
        <a:prstGeom prst="rect">
          <a:avLst/>
        </a:prstGeom>
        <a:noFill/>
      </xdr:spPr>
    </xdr:pic>
    <xdr:clientData/>
  </xdr:twoCellAnchor>
  <xdr:twoCellAnchor>
    <xdr:from>
      <xdr:col>12</xdr:col>
      <xdr:colOff>457020</xdr:colOff>
      <xdr:row>72</xdr:row>
      <xdr:rowOff>30345</xdr:rowOff>
    </xdr:from>
    <xdr:to>
      <xdr:col>12</xdr:col>
      <xdr:colOff>889020</xdr:colOff>
      <xdr:row>72</xdr:row>
      <xdr:rowOff>452820</xdr:rowOff>
    </xdr:to>
    <xdr:pic>
      <xdr:nvPicPr>
        <xdr:cNvPr id="267" name="Picture 266">
          <a:extLst>
            <a:ext uri="{FF2B5EF4-FFF2-40B4-BE49-F238E27FC236}">
              <a16:creationId xmlns:a16="http://schemas.microsoft.com/office/drawing/2014/main" id="{9E11E45E-E074-4B2C-A487-208BBC9C217B}"/>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076645" y="11167791"/>
          <a:ext cx="432000" cy="422475"/>
        </a:xfrm>
        <a:prstGeom prst="rect">
          <a:avLst/>
        </a:prstGeom>
        <a:ln>
          <a:solidFill>
            <a:schemeClr val="tx1"/>
          </a:solidFill>
        </a:ln>
      </xdr:spPr>
    </xdr:pic>
    <xdr:clientData/>
  </xdr:twoCellAnchor>
  <xdr:twoCellAnchor>
    <xdr:from>
      <xdr:col>9</xdr:col>
      <xdr:colOff>452664</xdr:colOff>
      <xdr:row>53</xdr:row>
      <xdr:rowOff>23584</xdr:rowOff>
    </xdr:from>
    <xdr:to>
      <xdr:col>9</xdr:col>
      <xdr:colOff>884664</xdr:colOff>
      <xdr:row>53</xdr:row>
      <xdr:rowOff>446059</xdr:rowOff>
    </xdr:to>
    <xdr:pic>
      <xdr:nvPicPr>
        <xdr:cNvPr id="268" name="Picture 267">
          <a:extLst>
            <a:ext uri="{FF2B5EF4-FFF2-40B4-BE49-F238E27FC236}">
              <a16:creationId xmlns:a16="http://schemas.microsoft.com/office/drawing/2014/main" id="{DFDE7228-73A1-4089-8BAE-993E42574999}"/>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54</xdr:row>
      <xdr:rowOff>23584</xdr:rowOff>
    </xdr:from>
    <xdr:to>
      <xdr:col>9</xdr:col>
      <xdr:colOff>884664</xdr:colOff>
      <xdr:row>54</xdr:row>
      <xdr:rowOff>446059</xdr:rowOff>
    </xdr:to>
    <xdr:pic>
      <xdr:nvPicPr>
        <xdr:cNvPr id="269" name="Picture 268">
          <a:extLst>
            <a:ext uri="{FF2B5EF4-FFF2-40B4-BE49-F238E27FC236}">
              <a16:creationId xmlns:a16="http://schemas.microsoft.com/office/drawing/2014/main" id="{89768929-546D-48F1-A5BB-8E59D2CAA64A}"/>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55</xdr:row>
      <xdr:rowOff>23584</xdr:rowOff>
    </xdr:from>
    <xdr:to>
      <xdr:col>9</xdr:col>
      <xdr:colOff>884664</xdr:colOff>
      <xdr:row>55</xdr:row>
      <xdr:rowOff>446059</xdr:rowOff>
    </xdr:to>
    <xdr:pic>
      <xdr:nvPicPr>
        <xdr:cNvPr id="270" name="Picture 269">
          <a:extLst>
            <a:ext uri="{FF2B5EF4-FFF2-40B4-BE49-F238E27FC236}">
              <a16:creationId xmlns:a16="http://schemas.microsoft.com/office/drawing/2014/main" id="{00AC6609-C38C-409D-A378-468C2A20B27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56</xdr:row>
      <xdr:rowOff>23584</xdr:rowOff>
    </xdr:from>
    <xdr:to>
      <xdr:col>9</xdr:col>
      <xdr:colOff>884664</xdr:colOff>
      <xdr:row>56</xdr:row>
      <xdr:rowOff>446059</xdr:rowOff>
    </xdr:to>
    <xdr:pic>
      <xdr:nvPicPr>
        <xdr:cNvPr id="271" name="Picture 270">
          <a:extLst>
            <a:ext uri="{FF2B5EF4-FFF2-40B4-BE49-F238E27FC236}">
              <a16:creationId xmlns:a16="http://schemas.microsoft.com/office/drawing/2014/main" id="{A846E544-42B9-41AB-BBDE-900F000CAD97}"/>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57</xdr:row>
      <xdr:rowOff>23584</xdr:rowOff>
    </xdr:from>
    <xdr:to>
      <xdr:col>9</xdr:col>
      <xdr:colOff>884664</xdr:colOff>
      <xdr:row>57</xdr:row>
      <xdr:rowOff>446059</xdr:rowOff>
    </xdr:to>
    <xdr:pic>
      <xdr:nvPicPr>
        <xdr:cNvPr id="272" name="Picture 271">
          <a:extLst>
            <a:ext uri="{FF2B5EF4-FFF2-40B4-BE49-F238E27FC236}">
              <a16:creationId xmlns:a16="http://schemas.microsoft.com/office/drawing/2014/main" id="{7ED449E6-27FF-4221-9AFB-0ABC1EA77DBD}"/>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58</xdr:row>
      <xdr:rowOff>23584</xdr:rowOff>
    </xdr:from>
    <xdr:to>
      <xdr:col>9</xdr:col>
      <xdr:colOff>884664</xdr:colOff>
      <xdr:row>58</xdr:row>
      <xdr:rowOff>446059</xdr:rowOff>
    </xdr:to>
    <xdr:pic>
      <xdr:nvPicPr>
        <xdr:cNvPr id="273" name="Picture 272">
          <a:extLst>
            <a:ext uri="{FF2B5EF4-FFF2-40B4-BE49-F238E27FC236}">
              <a16:creationId xmlns:a16="http://schemas.microsoft.com/office/drawing/2014/main" id="{78E2F763-BC96-4901-A18F-3E17659A8D6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59</xdr:row>
      <xdr:rowOff>23584</xdr:rowOff>
    </xdr:from>
    <xdr:to>
      <xdr:col>9</xdr:col>
      <xdr:colOff>884664</xdr:colOff>
      <xdr:row>59</xdr:row>
      <xdr:rowOff>446059</xdr:rowOff>
    </xdr:to>
    <xdr:pic>
      <xdr:nvPicPr>
        <xdr:cNvPr id="274" name="Picture 273">
          <a:extLst>
            <a:ext uri="{FF2B5EF4-FFF2-40B4-BE49-F238E27FC236}">
              <a16:creationId xmlns:a16="http://schemas.microsoft.com/office/drawing/2014/main" id="{9DF57F85-E247-4A02-9DA5-05129F0CBA4D}"/>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60</xdr:row>
      <xdr:rowOff>23584</xdr:rowOff>
    </xdr:from>
    <xdr:to>
      <xdr:col>9</xdr:col>
      <xdr:colOff>884664</xdr:colOff>
      <xdr:row>60</xdr:row>
      <xdr:rowOff>446059</xdr:rowOff>
    </xdr:to>
    <xdr:pic>
      <xdr:nvPicPr>
        <xdr:cNvPr id="275" name="Picture 274">
          <a:extLst>
            <a:ext uri="{FF2B5EF4-FFF2-40B4-BE49-F238E27FC236}">
              <a16:creationId xmlns:a16="http://schemas.microsoft.com/office/drawing/2014/main" id="{3A2FC820-DC3B-4192-8C04-9BB305E2E1C8}"/>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61</xdr:row>
      <xdr:rowOff>23584</xdr:rowOff>
    </xdr:from>
    <xdr:to>
      <xdr:col>9</xdr:col>
      <xdr:colOff>884664</xdr:colOff>
      <xdr:row>61</xdr:row>
      <xdr:rowOff>446059</xdr:rowOff>
    </xdr:to>
    <xdr:pic>
      <xdr:nvPicPr>
        <xdr:cNvPr id="276" name="Picture 275">
          <a:extLst>
            <a:ext uri="{FF2B5EF4-FFF2-40B4-BE49-F238E27FC236}">
              <a16:creationId xmlns:a16="http://schemas.microsoft.com/office/drawing/2014/main" id="{91B95A77-F774-4DE2-B0AA-8C5531E8377C}"/>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62</xdr:row>
      <xdr:rowOff>23584</xdr:rowOff>
    </xdr:from>
    <xdr:to>
      <xdr:col>9</xdr:col>
      <xdr:colOff>884664</xdr:colOff>
      <xdr:row>62</xdr:row>
      <xdr:rowOff>446059</xdr:rowOff>
    </xdr:to>
    <xdr:pic>
      <xdr:nvPicPr>
        <xdr:cNvPr id="277" name="Picture 276">
          <a:extLst>
            <a:ext uri="{FF2B5EF4-FFF2-40B4-BE49-F238E27FC236}">
              <a16:creationId xmlns:a16="http://schemas.microsoft.com/office/drawing/2014/main" id="{4A8E27D3-DE4D-44DA-A5A2-DB77194FFAB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63</xdr:row>
      <xdr:rowOff>23584</xdr:rowOff>
    </xdr:from>
    <xdr:to>
      <xdr:col>9</xdr:col>
      <xdr:colOff>884664</xdr:colOff>
      <xdr:row>63</xdr:row>
      <xdr:rowOff>446059</xdr:rowOff>
    </xdr:to>
    <xdr:pic>
      <xdr:nvPicPr>
        <xdr:cNvPr id="278" name="Picture 277">
          <a:extLst>
            <a:ext uri="{FF2B5EF4-FFF2-40B4-BE49-F238E27FC236}">
              <a16:creationId xmlns:a16="http://schemas.microsoft.com/office/drawing/2014/main" id="{1D21705D-4EB2-455B-8279-54475A16092C}"/>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64</xdr:row>
      <xdr:rowOff>23584</xdr:rowOff>
    </xdr:from>
    <xdr:to>
      <xdr:col>9</xdr:col>
      <xdr:colOff>884664</xdr:colOff>
      <xdr:row>64</xdr:row>
      <xdr:rowOff>446059</xdr:rowOff>
    </xdr:to>
    <xdr:pic>
      <xdr:nvPicPr>
        <xdr:cNvPr id="279" name="Picture 278">
          <a:extLst>
            <a:ext uri="{FF2B5EF4-FFF2-40B4-BE49-F238E27FC236}">
              <a16:creationId xmlns:a16="http://schemas.microsoft.com/office/drawing/2014/main" id="{9444E842-DEE5-483B-A65E-E84F11359C5C}"/>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65</xdr:row>
      <xdr:rowOff>23584</xdr:rowOff>
    </xdr:from>
    <xdr:to>
      <xdr:col>9</xdr:col>
      <xdr:colOff>884664</xdr:colOff>
      <xdr:row>65</xdr:row>
      <xdr:rowOff>446059</xdr:rowOff>
    </xdr:to>
    <xdr:pic>
      <xdr:nvPicPr>
        <xdr:cNvPr id="280" name="Picture 279">
          <a:extLst>
            <a:ext uri="{FF2B5EF4-FFF2-40B4-BE49-F238E27FC236}">
              <a16:creationId xmlns:a16="http://schemas.microsoft.com/office/drawing/2014/main" id="{10EDDCFB-855C-45A3-9B96-E06DF427F082}"/>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66</xdr:row>
      <xdr:rowOff>23584</xdr:rowOff>
    </xdr:from>
    <xdr:to>
      <xdr:col>9</xdr:col>
      <xdr:colOff>884664</xdr:colOff>
      <xdr:row>66</xdr:row>
      <xdr:rowOff>446059</xdr:rowOff>
    </xdr:to>
    <xdr:pic>
      <xdr:nvPicPr>
        <xdr:cNvPr id="281" name="Picture 280">
          <a:extLst>
            <a:ext uri="{FF2B5EF4-FFF2-40B4-BE49-F238E27FC236}">
              <a16:creationId xmlns:a16="http://schemas.microsoft.com/office/drawing/2014/main" id="{0B5E7158-7F0D-4B0B-A023-3BC524635DC5}"/>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67</xdr:row>
      <xdr:rowOff>23584</xdr:rowOff>
    </xdr:from>
    <xdr:to>
      <xdr:col>9</xdr:col>
      <xdr:colOff>884664</xdr:colOff>
      <xdr:row>67</xdr:row>
      <xdr:rowOff>446059</xdr:rowOff>
    </xdr:to>
    <xdr:pic>
      <xdr:nvPicPr>
        <xdr:cNvPr id="282" name="Picture 281">
          <a:extLst>
            <a:ext uri="{FF2B5EF4-FFF2-40B4-BE49-F238E27FC236}">
              <a16:creationId xmlns:a16="http://schemas.microsoft.com/office/drawing/2014/main" id="{319D9381-9152-4E17-A5D3-6EC0A8A5B10C}"/>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68</xdr:row>
      <xdr:rowOff>23584</xdr:rowOff>
    </xdr:from>
    <xdr:to>
      <xdr:col>9</xdr:col>
      <xdr:colOff>884664</xdr:colOff>
      <xdr:row>68</xdr:row>
      <xdr:rowOff>446059</xdr:rowOff>
    </xdr:to>
    <xdr:pic>
      <xdr:nvPicPr>
        <xdr:cNvPr id="283" name="Picture 282">
          <a:extLst>
            <a:ext uri="{FF2B5EF4-FFF2-40B4-BE49-F238E27FC236}">
              <a16:creationId xmlns:a16="http://schemas.microsoft.com/office/drawing/2014/main" id="{95328DF2-C00D-4BAD-9D90-5AAF501F00F4}"/>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9</xdr:col>
      <xdr:colOff>452664</xdr:colOff>
      <xdr:row>69</xdr:row>
      <xdr:rowOff>23584</xdr:rowOff>
    </xdr:from>
    <xdr:to>
      <xdr:col>9</xdr:col>
      <xdr:colOff>884664</xdr:colOff>
      <xdr:row>69</xdr:row>
      <xdr:rowOff>446059</xdr:rowOff>
    </xdr:to>
    <xdr:pic>
      <xdr:nvPicPr>
        <xdr:cNvPr id="284" name="Picture 283">
          <a:extLst>
            <a:ext uri="{FF2B5EF4-FFF2-40B4-BE49-F238E27FC236}">
              <a16:creationId xmlns:a16="http://schemas.microsoft.com/office/drawing/2014/main" id="{6CA8602E-1A9C-427C-8E83-9A8B36AC3A0C}"/>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1616870"/>
          <a:ext cx="432000" cy="422475"/>
        </a:xfrm>
        <a:prstGeom prst="rect">
          <a:avLst/>
        </a:prstGeom>
      </xdr:spPr>
    </xdr:pic>
    <xdr:clientData/>
  </xdr:twoCellAnchor>
  <xdr:twoCellAnchor>
    <xdr:from>
      <xdr:col>12</xdr:col>
      <xdr:colOff>448878</xdr:colOff>
      <xdr:row>73</xdr:row>
      <xdr:rowOff>23131</xdr:rowOff>
    </xdr:from>
    <xdr:to>
      <xdr:col>12</xdr:col>
      <xdr:colOff>880878</xdr:colOff>
      <xdr:row>73</xdr:row>
      <xdr:rowOff>455131</xdr:rowOff>
    </xdr:to>
    <xdr:pic>
      <xdr:nvPicPr>
        <xdr:cNvPr id="285" name="Picture 284">
          <a:extLst>
            <a:ext uri="{FF2B5EF4-FFF2-40B4-BE49-F238E27FC236}">
              <a16:creationId xmlns:a16="http://schemas.microsoft.com/office/drawing/2014/main" id="{9289BF9A-4352-472B-802B-BA196C29369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5068503" y="11616417"/>
          <a:ext cx="432000" cy="432000"/>
        </a:xfrm>
        <a:prstGeom prst="rect">
          <a:avLst/>
        </a:prstGeom>
        <a:noFill/>
        <a:ln>
          <a:noFill/>
        </a:ln>
      </xdr:spPr>
    </xdr:pic>
    <xdr:clientData/>
  </xdr:twoCellAnchor>
  <xdr:twoCellAnchor>
    <xdr:from>
      <xdr:col>12</xdr:col>
      <xdr:colOff>442982</xdr:colOff>
      <xdr:row>77</xdr:row>
      <xdr:rowOff>16328</xdr:rowOff>
    </xdr:from>
    <xdr:to>
      <xdr:col>12</xdr:col>
      <xdr:colOff>874367</xdr:colOff>
      <xdr:row>77</xdr:row>
      <xdr:rowOff>448328</xdr:rowOff>
    </xdr:to>
    <xdr:pic>
      <xdr:nvPicPr>
        <xdr:cNvPr id="286" name="Picture 285">
          <a:extLst>
            <a:ext uri="{FF2B5EF4-FFF2-40B4-BE49-F238E27FC236}">
              <a16:creationId xmlns:a16="http://schemas.microsoft.com/office/drawing/2014/main" id="{A46A92BD-2BEF-4756-9C65-BEF23682CAF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62607" y="13432971"/>
          <a:ext cx="431385" cy="432000"/>
        </a:xfrm>
        <a:prstGeom prst="rect">
          <a:avLst/>
        </a:prstGeom>
      </xdr:spPr>
    </xdr:pic>
    <xdr:clientData/>
  </xdr:twoCellAnchor>
  <xdr:twoCellAnchor>
    <xdr:from>
      <xdr:col>12</xdr:col>
      <xdr:colOff>399596</xdr:colOff>
      <xdr:row>74</xdr:row>
      <xdr:rowOff>21636</xdr:rowOff>
    </xdr:from>
    <xdr:to>
      <xdr:col>12</xdr:col>
      <xdr:colOff>831596</xdr:colOff>
      <xdr:row>74</xdr:row>
      <xdr:rowOff>444111</xdr:rowOff>
    </xdr:to>
    <xdr:pic>
      <xdr:nvPicPr>
        <xdr:cNvPr id="287" name="Picture 286">
          <a:extLst>
            <a:ext uri="{FF2B5EF4-FFF2-40B4-BE49-F238E27FC236}">
              <a16:creationId xmlns:a16="http://schemas.microsoft.com/office/drawing/2014/main" id="{4238070F-23CC-4BD1-8A32-E3CF34E5ED38}"/>
            </a:ext>
          </a:extLst>
        </xdr:cNvPr>
        <xdr:cNvPicPr>
          <a:picLocks noChangeAspect="1"/>
        </xdr:cNvPicPr>
      </xdr:nvPicPr>
      <xdr:blipFill>
        <a:blip xmlns:r="http://schemas.openxmlformats.org/officeDocument/2006/relationships" r:embed="rId12"/>
        <a:stretch>
          <a:fillRect/>
        </a:stretch>
      </xdr:blipFill>
      <xdr:spPr>
        <a:xfrm>
          <a:off x="5019221" y="12070761"/>
          <a:ext cx="432000" cy="422475"/>
        </a:xfrm>
        <a:prstGeom prst="rect">
          <a:avLst/>
        </a:prstGeom>
      </xdr:spPr>
    </xdr:pic>
    <xdr:clientData/>
  </xdr:twoCellAnchor>
  <xdr:twoCellAnchor>
    <xdr:from>
      <xdr:col>12</xdr:col>
      <xdr:colOff>432255</xdr:colOff>
      <xdr:row>76</xdr:row>
      <xdr:rowOff>17235</xdr:rowOff>
    </xdr:from>
    <xdr:to>
      <xdr:col>12</xdr:col>
      <xdr:colOff>864372</xdr:colOff>
      <xdr:row>76</xdr:row>
      <xdr:rowOff>449235</xdr:rowOff>
    </xdr:to>
    <xdr:pic>
      <xdr:nvPicPr>
        <xdr:cNvPr id="288" name="Picture 287">
          <a:extLst>
            <a:ext uri="{FF2B5EF4-FFF2-40B4-BE49-F238E27FC236}">
              <a16:creationId xmlns:a16="http://schemas.microsoft.com/office/drawing/2014/main" id="{D49E26F0-E836-431F-806F-490AD0D40CE7}"/>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051880" y="12978039"/>
          <a:ext cx="432117" cy="432000"/>
        </a:xfrm>
        <a:prstGeom prst="rect">
          <a:avLst/>
        </a:prstGeom>
      </xdr:spPr>
    </xdr:pic>
    <xdr:clientData/>
  </xdr:twoCellAnchor>
  <xdr:twoCellAnchor>
    <xdr:from>
      <xdr:col>12</xdr:col>
      <xdr:colOff>423181</xdr:colOff>
      <xdr:row>75</xdr:row>
      <xdr:rowOff>17237</xdr:rowOff>
    </xdr:from>
    <xdr:to>
      <xdr:col>12</xdr:col>
      <xdr:colOff>855181</xdr:colOff>
      <xdr:row>75</xdr:row>
      <xdr:rowOff>439712</xdr:rowOff>
    </xdr:to>
    <xdr:pic>
      <xdr:nvPicPr>
        <xdr:cNvPr id="289" name="Picture 288">
          <a:extLst>
            <a:ext uri="{FF2B5EF4-FFF2-40B4-BE49-F238E27FC236}">
              <a16:creationId xmlns:a16="http://schemas.microsoft.com/office/drawing/2014/main" id="{E109C555-688F-41D9-A96C-13D9FAF44B12}"/>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042806" y="12522201"/>
          <a:ext cx="432000" cy="422475"/>
        </a:xfrm>
        <a:prstGeom prst="rect">
          <a:avLst/>
        </a:prstGeom>
      </xdr:spPr>
    </xdr:pic>
    <xdr:clientData/>
  </xdr:twoCellAnchor>
  <xdr:twoCellAnchor>
    <xdr:from>
      <xdr:col>12</xdr:col>
      <xdr:colOff>447902</xdr:colOff>
      <xdr:row>78</xdr:row>
      <xdr:rowOff>17690</xdr:rowOff>
    </xdr:from>
    <xdr:to>
      <xdr:col>12</xdr:col>
      <xdr:colOff>879902</xdr:colOff>
      <xdr:row>78</xdr:row>
      <xdr:rowOff>439792</xdr:rowOff>
    </xdr:to>
    <xdr:pic>
      <xdr:nvPicPr>
        <xdr:cNvPr id="290" name="Picture 289">
          <a:extLst>
            <a:ext uri="{FF2B5EF4-FFF2-40B4-BE49-F238E27FC236}">
              <a16:creationId xmlns:a16="http://schemas.microsoft.com/office/drawing/2014/main" id="{C118CBB9-3C11-4E88-87C8-6E4E68449C37}"/>
            </a:ext>
          </a:extLst>
        </xdr:cNvPr>
        <xdr:cNvPicPr>
          <a:picLocks noChangeAspect="1"/>
        </xdr:cNvPicPr>
      </xdr:nvPicPr>
      <xdr:blipFill>
        <a:blip xmlns:r="http://schemas.openxmlformats.org/officeDocument/2006/relationships" r:embed="rId15"/>
        <a:stretch>
          <a:fillRect/>
        </a:stretch>
      </xdr:blipFill>
      <xdr:spPr>
        <a:xfrm>
          <a:off x="5067527" y="13890172"/>
          <a:ext cx="432000" cy="422102"/>
        </a:xfrm>
        <a:prstGeom prst="rect">
          <a:avLst/>
        </a:prstGeom>
      </xdr:spPr>
    </xdr:pic>
    <xdr:clientData/>
  </xdr:twoCellAnchor>
  <xdr:twoCellAnchor>
    <xdr:from>
      <xdr:col>12</xdr:col>
      <xdr:colOff>447901</xdr:colOff>
      <xdr:row>79</xdr:row>
      <xdr:rowOff>20411</xdr:rowOff>
    </xdr:from>
    <xdr:to>
      <xdr:col>12</xdr:col>
      <xdr:colOff>879901</xdr:colOff>
      <xdr:row>79</xdr:row>
      <xdr:rowOff>452038</xdr:rowOff>
    </xdr:to>
    <xdr:pic>
      <xdr:nvPicPr>
        <xdr:cNvPr id="291" name="Picture 290">
          <a:extLst>
            <a:ext uri="{FF2B5EF4-FFF2-40B4-BE49-F238E27FC236}">
              <a16:creationId xmlns:a16="http://schemas.microsoft.com/office/drawing/2014/main" id="{605F1B31-06F1-4A35-B7F7-0D000045524F}"/>
            </a:ext>
          </a:extLst>
        </xdr:cNvPr>
        <xdr:cNvPicPr>
          <a:picLocks noChangeAspect="1"/>
        </xdr:cNvPicPr>
      </xdr:nvPicPr>
      <xdr:blipFill>
        <a:blip xmlns:r="http://schemas.openxmlformats.org/officeDocument/2006/relationships" r:embed="rId15"/>
        <a:stretch>
          <a:fillRect/>
        </a:stretch>
      </xdr:blipFill>
      <xdr:spPr>
        <a:xfrm>
          <a:off x="5067526" y="14348732"/>
          <a:ext cx="432000" cy="431627"/>
        </a:xfrm>
        <a:prstGeom prst="rect">
          <a:avLst/>
        </a:prstGeom>
      </xdr:spPr>
    </xdr:pic>
    <xdr:clientData/>
  </xdr:twoCellAnchor>
  <xdr:twoCellAnchor>
    <xdr:from>
      <xdr:col>12</xdr:col>
      <xdr:colOff>442075</xdr:colOff>
      <xdr:row>81</xdr:row>
      <xdr:rowOff>12109</xdr:rowOff>
    </xdr:from>
    <xdr:to>
      <xdr:col>12</xdr:col>
      <xdr:colOff>874075</xdr:colOff>
      <xdr:row>81</xdr:row>
      <xdr:rowOff>444806</xdr:rowOff>
    </xdr:to>
    <xdr:pic>
      <xdr:nvPicPr>
        <xdr:cNvPr id="292" name="Picture 291">
          <a:extLst>
            <a:ext uri="{FF2B5EF4-FFF2-40B4-BE49-F238E27FC236}">
              <a16:creationId xmlns:a16="http://schemas.microsoft.com/office/drawing/2014/main" id="{2FD85278-7623-49FB-82AB-A19969C6F6C7}"/>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61700" y="15252109"/>
          <a:ext cx="432000" cy="432697"/>
        </a:xfrm>
        <a:prstGeom prst="rect">
          <a:avLst/>
        </a:prstGeom>
        <a:noFill/>
      </xdr:spPr>
    </xdr:pic>
    <xdr:clientData/>
  </xdr:twoCellAnchor>
  <xdr:twoCellAnchor>
    <xdr:from>
      <xdr:col>12</xdr:col>
      <xdr:colOff>433003</xdr:colOff>
      <xdr:row>82</xdr:row>
      <xdr:rowOff>21270</xdr:rowOff>
    </xdr:from>
    <xdr:to>
      <xdr:col>12</xdr:col>
      <xdr:colOff>865003</xdr:colOff>
      <xdr:row>82</xdr:row>
      <xdr:rowOff>443745</xdr:rowOff>
    </xdr:to>
    <xdr:pic>
      <xdr:nvPicPr>
        <xdr:cNvPr id="293" name="Picture 292">
          <a:extLst>
            <a:ext uri="{FF2B5EF4-FFF2-40B4-BE49-F238E27FC236}">
              <a16:creationId xmlns:a16="http://schemas.microsoft.com/office/drawing/2014/main" id="{E0B09AD0-D910-4632-A160-2C23091ECB37}"/>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52628" y="15717109"/>
          <a:ext cx="432000" cy="422475"/>
        </a:xfrm>
        <a:prstGeom prst="rect">
          <a:avLst/>
        </a:prstGeom>
        <a:noFill/>
      </xdr:spPr>
    </xdr:pic>
    <xdr:clientData/>
  </xdr:twoCellAnchor>
  <xdr:twoCellAnchor>
    <xdr:from>
      <xdr:col>12</xdr:col>
      <xdr:colOff>445477</xdr:colOff>
      <xdr:row>80</xdr:row>
      <xdr:rowOff>22677</xdr:rowOff>
    </xdr:from>
    <xdr:to>
      <xdr:col>12</xdr:col>
      <xdr:colOff>877477</xdr:colOff>
      <xdr:row>80</xdr:row>
      <xdr:rowOff>445152</xdr:rowOff>
    </xdr:to>
    <xdr:pic>
      <xdr:nvPicPr>
        <xdr:cNvPr id="294" name="Picture 293">
          <a:extLst>
            <a:ext uri="{FF2B5EF4-FFF2-40B4-BE49-F238E27FC236}">
              <a16:creationId xmlns:a16="http://schemas.microsoft.com/office/drawing/2014/main" id="{72693073-66DD-4922-A820-B0D94BABA807}"/>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5102" y="14806838"/>
          <a:ext cx="432000" cy="422475"/>
        </a:xfrm>
        <a:prstGeom prst="rect">
          <a:avLst/>
        </a:prstGeom>
        <a:noFill/>
      </xdr:spPr>
    </xdr:pic>
    <xdr:clientData/>
  </xdr:twoCellAnchor>
  <xdr:twoCellAnchor>
    <xdr:from>
      <xdr:col>12</xdr:col>
      <xdr:colOff>442232</xdr:colOff>
      <xdr:row>83</xdr:row>
      <xdr:rowOff>15874</xdr:rowOff>
    </xdr:from>
    <xdr:to>
      <xdr:col>12</xdr:col>
      <xdr:colOff>874232</xdr:colOff>
      <xdr:row>83</xdr:row>
      <xdr:rowOff>447874</xdr:rowOff>
    </xdr:to>
    <xdr:pic>
      <xdr:nvPicPr>
        <xdr:cNvPr id="295" name="Picture 294">
          <a:extLst>
            <a:ext uri="{FF2B5EF4-FFF2-40B4-BE49-F238E27FC236}">
              <a16:creationId xmlns:a16="http://schemas.microsoft.com/office/drawing/2014/main" id="{D21E05B8-B1F3-4866-9D2E-698C674F5683}"/>
            </a:ext>
          </a:extLst>
        </xdr:cNvPr>
        <xdr:cNvPicPr>
          <a:picLocks noChangeAspect="1"/>
        </xdr:cNvPicPr>
      </xdr:nvPicPr>
      <xdr:blipFill>
        <a:blip xmlns:r="http://schemas.openxmlformats.org/officeDocument/2006/relationships" r:embed="rId19"/>
        <a:stretch>
          <a:fillRect/>
        </a:stretch>
      </xdr:blipFill>
      <xdr:spPr>
        <a:xfrm>
          <a:off x="5061857" y="16167553"/>
          <a:ext cx="432000" cy="432000"/>
        </a:xfrm>
        <a:prstGeom prst="rect">
          <a:avLst/>
        </a:prstGeom>
      </xdr:spPr>
    </xdr:pic>
    <xdr:clientData/>
  </xdr:twoCellAnchor>
  <xdr:twoCellAnchor>
    <xdr:from>
      <xdr:col>12</xdr:col>
      <xdr:colOff>450013</xdr:colOff>
      <xdr:row>84</xdr:row>
      <xdr:rowOff>21543</xdr:rowOff>
    </xdr:from>
    <xdr:to>
      <xdr:col>12</xdr:col>
      <xdr:colOff>882013</xdr:colOff>
      <xdr:row>84</xdr:row>
      <xdr:rowOff>453543</xdr:rowOff>
    </xdr:to>
    <xdr:pic>
      <xdr:nvPicPr>
        <xdr:cNvPr id="296" name="Picture 295" descr="hair protection">
          <a:extLst>
            <a:ext uri="{FF2B5EF4-FFF2-40B4-BE49-F238E27FC236}">
              <a16:creationId xmlns:a16="http://schemas.microsoft.com/office/drawing/2014/main" id="{D645D80C-66B7-45A6-B449-6E6FB7436B1C}"/>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9638" y="16629061"/>
          <a:ext cx="432000" cy="432000"/>
        </a:xfrm>
        <a:prstGeom prst="rect">
          <a:avLst/>
        </a:prstGeom>
        <a:noFill/>
        <a:ln>
          <a:noFill/>
        </a:ln>
      </xdr:spPr>
    </xdr:pic>
    <xdr:clientData/>
  </xdr:twoCellAnchor>
  <xdr:twoCellAnchor>
    <xdr:from>
      <xdr:col>12</xdr:col>
      <xdr:colOff>430735</xdr:colOff>
      <xdr:row>85</xdr:row>
      <xdr:rowOff>23811</xdr:rowOff>
    </xdr:from>
    <xdr:to>
      <xdr:col>12</xdr:col>
      <xdr:colOff>862735</xdr:colOff>
      <xdr:row>85</xdr:row>
      <xdr:rowOff>446286</xdr:rowOff>
    </xdr:to>
    <xdr:pic>
      <xdr:nvPicPr>
        <xdr:cNvPr id="297" name="Picture 296" descr="head protection">
          <a:extLst>
            <a:ext uri="{FF2B5EF4-FFF2-40B4-BE49-F238E27FC236}">
              <a16:creationId xmlns:a16="http://schemas.microsoft.com/office/drawing/2014/main" id="{AA598888-17EE-4777-A782-ED2ECFC73641}"/>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50360" y="17087168"/>
          <a:ext cx="432000" cy="422475"/>
        </a:xfrm>
        <a:prstGeom prst="rect">
          <a:avLst/>
        </a:prstGeom>
        <a:noFill/>
        <a:ln>
          <a:noFill/>
        </a:ln>
      </xdr:spPr>
    </xdr:pic>
    <xdr:clientData/>
  </xdr:twoCellAnchor>
  <xdr:twoCellAnchor>
    <xdr:from>
      <xdr:col>12</xdr:col>
      <xdr:colOff>481990</xdr:colOff>
      <xdr:row>88</xdr:row>
      <xdr:rowOff>20408</xdr:rowOff>
    </xdr:from>
    <xdr:to>
      <xdr:col>12</xdr:col>
      <xdr:colOff>913990</xdr:colOff>
      <xdr:row>88</xdr:row>
      <xdr:rowOff>442883</xdr:rowOff>
    </xdr:to>
    <xdr:pic>
      <xdr:nvPicPr>
        <xdr:cNvPr id="298" name="Picture 297">
          <a:extLst>
            <a:ext uri="{FF2B5EF4-FFF2-40B4-BE49-F238E27FC236}">
              <a16:creationId xmlns:a16="http://schemas.microsoft.com/office/drawing/2014/main" id="{0BCF1AB8-F907-42D8-9C3C-DF1B0A88D248}"/>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101615" y="18451283"/>
          <a:ext cx="432000" cy="422475"/>
        </a:xfrm>
        <a:prstGeom prst="rect">
          <a:avLst/>
        </a:prstGeom>
        <a:noFill/>
        <a:ln>
          <a:noFill/>
        </a:ln>
      </xdr:spPr>
    </xdr:pic>
    <xdr:clientData/>
  </xdr:twoCellAnchor>
  <xdr:twoCellAnchor>
    <xdr:from>
      <xdr:col>12</xdr:col>
      <xdr:colOff>476094</xdr:colOff>
      <xdr:row>90</xdr:row>
      <xdr:rowOff>18142</xdr:rowOff>
    </xdr:from>
    <xdr:to>
      <xdr:col>12</xdr:col>
      <xdr:colOff>908094</xdr:colOff>
      <xdr:row>90</xdr:row>
      <xdr:rowOff>440617</xdr:rowOff>
    </xdr:to>
    <xdr:pic>
      <xdr:nvPicPr>
        <xdr:cNvPr id="299" name="Picture 298" descr="safety vests">
          <a:extLst>
            <a:ext uri="{FF2B5EF4-FFF2-40B4-BE49-F238E27FC236}">
              <a16:creationId xmlns:a16="http://schemas.microsoft.com/office/drawing/2014/main" id="{DB7996E5-4610-4AEB-887A-884F07B2978F}"/>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095719" y="19360696"/>
          <a:ext cx="432000" cy="422475"/>
        </a:xfrm>
        <a:prstGeom prst="rect">
          <a:avLst/>
        </a:prstGeom>
        <a:noFill/>
        <a:ln>
          <a:noFill/>
        </a:ln>
      </xdr:spPr>
    </xdr:pic>
    <xdr:clientData/>
  </xdr:twoCellAnchor>
  <xdr:twoCellAnchor>
    <xdr:from>
      <xdr:col>12</xdr:col>
      <xdr:colOff>479048</xdr:colOff>
      <xdr:row>86</xdr:row>
      <xdr:rowOff>18541</xdr:rowOff>
    </xdr:from>
    <xdr:to>
      <xdr:col>12</xdr:col>
      <xdr:colOff>911048</xdr:colOff>
      <xdr:row>86</xdr:row>
      <xdr:rowOff>441016</xdr:rowOff>
    </xdr:to>
    <xdr:pic>
      <xdr:nvPicPr>
        <xdr:cNvPr id="300" name="Picture 299">
          <a:extLst>
            <a:ext uri="{FF2B5EF4-FFF2-40B4-BE49-F238E27FC236}">
              <a16:creationId xmlns:a16="http://schemas.microsoft.com/office/drawing/2014/main" id="{F1026205-C7D6-410A-AD4C-0BF4C0411D00}"/>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98673" y="17537737"/>
          <a:ext cx="432000" cy="422475"/>
        </a:xfrm>
        <a:prstGeom prst="rect">
          <a:avLst/>
        </a:prstGeom>
        <a:noFill/>
      </xdr:spPr>
    </xdr:pic>
    <xdr:clientData/>
  </xdr:twoCellAnchor>
  <xdr:twoCellAnchor>
    <xdr:from>
      <xdr:col>12</xdr:col>
      <xdr:colOff>472691</xdr:colOff>
      <xdr:row>87</xdr:row>
      <xdr:rowOff>20410</xdr:rowOff>
    </xdr:from>
    <xdr:to>
      <xdr:col>12</xdr:col>
      <xdr:colOff>905440</xdr:colOff>
      <xdr:row>87</xdr:row>
      <xdr:rowOff>452410</xdr:rowOff>
    </xdr:to>
    <xdr:pic>
      <xdr:nvPicPr>
        <xdr:cNvPr id="301" name="Picture 300">
          <a:extLst>
            <a:ext uri="{FF2B5EF4-FFF2-40B4-BE49-F238E27FC236}">
              <a16:creationId xmlns:a16="http://schemas.microsoft.com/office/drawing/2014/main" id="{97639AF9-6863-4C68-8FF1-C9E4DFFB5AC5}"/>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092316" y="17995446"/>
          <a:ext cx="432749" cy="432000"/>
        </a:xfrm>
        <a:prstGeom prst="rect">
          <a:avLst/>
        </a:prstGeom>
      </xdr:spPr>
    </xdr:pic>
    <xdr:clientData/>
  </xdr:twoCellAnchor>
  <xdr:twoCellAnchor>
    <xdr:from>
      <xdr:col>12</xdr:col>
      <xdr:colOff>476250</xdr:colOff>
      <xdr:row>89</xdr:row>
      <xdr:rowOff>17010</xdr:rowOff>
    </xdr:from>
    <xdr:to>
      <xdr:col>12</xdr:col>
      <xdr:colOff>908250</xdr:colOff>
      <xdr:row>89</xdr:row>
      <xdr:rowOff>449010</xdr:rowOff>
    </xdr:to>
    <xdr:pic>
      <xdr:nvPicPr>
        <xdr:cNvPr id="302" name="Picture 301">
          <a:extLst>
            <a:ext uri="{FF2B5EF4-FFF2-40B4-BE49-F238E27FC236}">
              <a16:creationId xmlns:a16="http://schemas.microsoft.com/office/drawing/2014/main" id="{C91DD7DD-4457-4FC1-B3F7-F88E87D574DF}"/>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095875" y="18903724"/>
          <a:ext cx="432000" cy="432000"/>
        </a:xfrm>
        <a:prstGeom prst="rect">
          <a:avLst/>
        </a:prstGeom>
      </xdr:spPr>
    </xdr:pic>
    <xdr:clientData/>
  </xdr:twoCellAnchor>
  <xdr:twoCellAnchor>
    <xdr:from>
      <xdr:col>12</xdr:col>
      <xdr:colOff>436563</xdr:colOff>
      <xdr:row>91</xdr:row>
      <xdr:rowOff>17008</xdr:rowOff>
    </xdr:from>
    <xdr:to>
      <xdr:col>12</xdr:col>
      <xdr:colOff>868563</xdr:colOff>
      <xdr:row>91</xdr:row>
      <xdr:rowOff>449008</xdr:rowOff>
    </xdr:to>
    <xdr:pic>
      <xdr:nvPicPr>
        <xdr:cNvPr id="303" name="Picture 302">
          <a:extLst>
            <a:ext uri="{FF2B5EF4-FFF2-40B4-BE49-F238E27FC236}">
              <a16:creationId xmlns:a16="http://schemas.microsoft.com/office/drawing/2014/main" id="{B92D3D78-7B11-4E3E-A680-1D0364AC734F}"/>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056188" y="19815401"/>
          <a:ext cx="432000" cy="432000"/>
        </a:xfrm>
        <a:prstGeom prst="rect">
          <a:avLst/>
        </a:prstGeom>
      </xdr:spPr>
    </xdr:pic>
    <xdr:clientData/>
  </xdr:twoCellAnchor>
  <xdr:twoCellAnchor>
    <xdr:from>
      <xdr:col>12</xdr:col>
      <xdr:colOff>443370</xdr:colOff>
      <xdr:row>92</xdr:row>
      <xdr:rowOff>17007</xdr:rowOff>
    </xdr:from>
    <xdr:to>
      <xdr:col>12</xdr:col>
      <xdr:colOff>875370</xdr:colOff>
      <xdr:row>92</xdr:row>
      <xdr:rowOff>449007</xdr:rowOff>
    </xdr:to>
    <xdr:pic>
      <xdr:nvPicPr>
        <xdr:cNvPr id="304" name="Picture 303">
          <a:extLst>
            <a:ext uri="{FF2B5EF4-FFF2-40B4-BE49-F238E27FC236}">
              <a16:creationId xmlns:a16="http://schemas.microsoft.com/office/drawing/2014/main" id="{712DDF21-E4D5-4314-9AFD-3837201649C6}"/>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062995" y="20271239"/>
          <a:ext cx="432000" cy="432000"/>
        </a:xfrm>
        <a:prstGeom prst="rect">
          <a:avLst/>
        </a:prstGeom>
        <a:noFill/>
      </xdr:spPr>
    </xdr:pic>
    <xdr:clientData/>
  </xdr:twoCellAnchor>
  <xdr:twoCellAnchor>
    <xdr:from>
      <xdr:col>12</xdr:col>
      <xdr:colOff>457020</xdr:colOff>
      <xdr:row>93</xdr:row>
      <xdr:rowOff>30345</xdr:rowOff>
    </xdr:from>
    <xdr:to>
      <xdr:col>12</xdr:col>
      <xdr:colOff>889020</xdr:colOff>
      <xdr:row>93</xdr:row>
      <xdr:rowOff>452820</xdr:rowOff>
    </xdr:to>
    <xdr:pic>
      <xdr:nvPicPr>
        <xdr:cNvPr id="305" name="Picture 304">
          <a:extLst>
            <a:ext uri="{FF2B5EF4-FFF2-40B4-BE49-F238E27FC236}">
              <a16:creationId xmlns:a16="http://schemas.microsoft.com/office/drawing/2014/main" id="{4F45FE9C-AF46-4ABB-8802-FDE546F52D6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076645" y="20740416"/>
          <a:ext cx="432000" cy="422475"/>
        </a:xfrm>
        <a:prstGeom prst="rect">
          <a:avLst/>
        </a:prstGeom>
        <a:ln>
          <a:solidFill>
            <a:schemeClr val="tx1"/>
          </a:solidFill>
        </a:ln>
      </xdr:spPr>
    </xdr:pic>
    <xdr:clientData/>
  </xdr:twoCellAnchor>
  <xdr:twoCellAnchor>
    <xdr:from>
      <xdr:col>12</xdr:col>
      <xdr:colOff>448878</xdr:colOff>
      <xdr:row>94</xdr:row>
      <xdr:rowOff>23131</xdr:rowOff>
    </xdr:from>
    <xdr:to>
      <xdr:col>12</xdr:col>
      <xdr:colOff>880878</xdr:colOff>
      <xdr:row>94</xdr:row>
      <xdr:rowOff>455131</xdr:rowOff>
    </xdr:to>
    <xdr:pic>
      <xdr:nvPicPr>
        <xdr:cNvPr id="306" name="Picture 305">
          <a:extLst>
            <a:ext uri="{FF2B5EF4-FFF2-40B4-BE49-F238E27FC236}">
              <a16:creationId xmlns:a16="http://schemas.microsoft.com/office/drawing/2014/main" id="{81E825FA-10B1-465C-A201-DE0F89F12BB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5068503" y="21189042"/>
          <a:ext cx="432000" cy="432000"/>
        </a:xfrm>
        <a:prstGeom prst="rect">
          <a:avLst/>
        </a:prstGeom>
        <a:noFill/>
        <a:ln>
          <a:noFill/>
        </a:ln>
      </xdr:spPr>
    </xdr:pic>
    <xdr:clientData/>
  </xdr:twoCellAnchor>
  <xdr:twoCellAnchor>
    <xdr:from>
      <xdr:col>12</xdr:col>
      <xdr:colOff>442982</xdr:colOff>
      <xdr:row>98</xdr:row>
      <xdr:rowOff>16328</xdr:rowOff>
    </xdr:from>
    <xdr:to>
      <xdr:col>12</xdr:col>
      <xdr:colOff>874367</xdr:colOff>
      <xdr:row>98</xdr:row>
      <xdr:rowOff>448328</xdr:rowOff>
    </xdr:to>
    <xdr:pic>
      <xdr:nvPicPr>
        <xdr:cNvPr id="307" name="Picture 306">
          <a:extLst>
            <a:ext uri="{FF2B5EF4-FFF2-40B4-BE49-F238E27FC236}">
              <a16:creationId xmlns:a16="http://schemas.microsoft.com/office/drawing/2014/main" id="{29AB8832-30A2-4F72-97FF-BDB2A207951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62607" y="23005596"/>
          <a:ext cx="431385" cy="432000"/>
        </a:xfrm>
        <a:prstGeom prst="rect">
          <a:avLst/>
        </a:prstGeom>
      </xdr:spPr>
    </xdr:pic>
    <xdr:clientData/>
  </xdr:twoCellAnchor>
  <xdr:twoCellAnchor>
    <xdr:from>
      <xdr:col>12</xdr:col>
      <xdr:colOff>399596</xdr:colOff>
      <xdr:row>95</xdr:row>
      <xdr:rowOff>21636</xdr:rowOff>
    </xdr:from>
    <xdr:to>
      <xdr:col>12</xdr:col>
      <xdr:colOff>831596</xdr:colOff>
      <xdr:row>95</xdr:row>
      <xdr:rowOff>444111</xdr:rowOff>
    </xdr:to>
    <xdr:pic>
      <xdr:nvPicPr>
        <xdr:cNvPr id="308" name="Picture 307">
          <a:extLst>
            <a:ext uri="{FF2B5EF4-FFF2-40B4-BE49-F238E27FC236}">
              <a16:creationId xmlns:a16="http://schemas.microsoft.com/office/drawing/2014/main" id="{F60C2CF2-F034-421E-A4DD-549D63C9C92B}"/>
            </a:ext>
          </a:extLst>
        </xdr:cNvPr>
        <xdr:cNvPicPr>
          <a:picLocks noChangeAspect="1"/>
        </xdr:cNvPicPr>
      </xdr:nvPicPr>
      <xdr:blipFill>
        <a:blip xmlns:r="http://schemas.openxmlformats.org/officeDocument/2006/relationships" r:embed="rId12"/>
        <a:stretch>
          <a:fillRect/>
        </a:stretch>
      </xdr:blipFill>
      <xdr:spPr>
        <a:xfrm>
          <a:off x="5019221" y="21643386"/>
          <a:ext cx="432000" cy="422475"/>
        </a:xfrm>
        <a:prstGeom prst="rect">
          <a:avLst/>
        </a:prstGeom>
      </xdr:spPr>
    </xdr:pic>
    <xdr:clientData/>
  </xdr:twoCellAnchor>
  <xdr:twoCellAnchor>
    <xdr:from>
      <xdr:col>12</xdr:col>
      <xdr:colOff>432255</xdr:colOff>
      <xdr:row>97</xdr:row>
      <xdr:rowOff>17235</xdr:rowOff>
    </xdr:from>
    <xdr:to>
      <xdr:col>12</xdr:col>
      <xdr:colOff>864372</xdr:colOff>
      <xdr:row>97</xdr:row>
      <xdr:rowOff>449235</xdr:rowOff>
    </xdr:to>
    <xdr:pic>
      <xdr:nvPicPr>
        <xdr:cNvPr id="309" name="Picture 308">
          <a:extLst>
            <a:ext uri="{FF2B5EF4-FFF2-40B4-BE49-F238E27FC236}">
              <a16:creationId xmlns:a16="http://schemas.microsoft.com/office/drawing/2014/main" id="{54DFB8D8-EA0C-4177-A495-EDF02C63969A}"/>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051880" y="22550664"/>
          <a:ext cx="432117" cy="432000"/>
        </a:xfrm>
        <a:prstGeom prst="rect">
          <a:avLst/>
        </a:prstGeom>
      </xdr:spPr>
    </xdr:pic>
    <xdr:clientData/>
  </xdr:twoCellAnchor>
  <xdr:twoCellAnchor>
    <xdr:from>
      <xdr:col>12</xdr:col>
      <xdr:colOff>423181</xdr:colOff>
      <xdr:row>96</xdr:row>
      <xdr:rowOff>17237</xdr:rowOff>
    </xdr:from>
    <xdr:to>
      <xdr:col>12</xdr:col>
      <xdr:colOff>855181</xdr:colOff>
      <xdr:row>96</xdr:row>
      <xdr:rowOff>439712</xdr:rowOff>
    </xdr:to>
    <xdr:pic>
      <xdr:nvPicPr>
        <xdr:cNvPr id="310" name="Picture 309">
          <a:extLst>
            <a:ext uri="{FF2B5EF4-FFF2-40B4-BE49-F238E27FC236}">
              <a16:creationId xmlns:a16="http://schemas.microsoft.com/office/drawing/2014/main" id="{EA7F87C5-BBE3-47DD-BA2D-2879814DCD1C}"/>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042806" y="22094826"/>
          <a:ext cx="432000" cy="422475"/>
        </a:xfrm>
        <a:prstGeom prst="rect">
          <a:avLst/>
        </a:prstGeom>
      </xdr:spPr>
    </xdr:pic>
    <xdr:clientData/>
  </xdr:twoCellAnchor>
  <xdr:twoCellAnchor>
    <xdr:from>
      <xdr:col>12</xdr:col>
      <xdr:colOff>447902</xdr:colOff>
      <xdr:row>99</xdr:row>
      <xdr:rowOff>17690</xdr:rowOff>
    </xdr:from>
    <xdr:to>
      <xdr:col>12</xdr:col>
      <xdr:colOff>879902</xdr:colOff>
      <xdr:row>99</xdr:row>
      <xdr:rowOff>439792</xdr:rowOff>
    </xdr:to>
    <xdr:pic>
      <xdr:nvPicPr>
        <xdr:cNvPr id="311" name="Picture 310">
          <a:extLst>
            <a:ext uri="{FF2B5EF4-FFF2-40B4-BE49-F238E27FC236}">
              <a16:creationId xmlns:a16="http://schemas.microsoft.com/office/drawing/2014/main" id="{79E26829-8675-4FC7-A70E-6CC5A4AB17EA}"/>
            </a:ext>
          </a:extLst>
        </xdr:cNvPr>
        <xdr:cNvPicPr>
          <a:picLocks noChangeAspect="1"/>
        </xdr:cNvPicPr>
      </xdr:nvPicPr>
      <xdr:blipFill>
        <a:blip xmlns:r="http://schemas.openxmlformats.org/officeDocument/2006/relationships" r:embed="rId15"/>
        <a:stretch>
          <a:fillRect/>
        </a:stretch>
      </xdr:blipFill>
      <xdr:spPr>
        <a:xfrm>
          <a:off x="5067527" y="23462797"/>
          <a:ext cx="432000" cy="422102"/>
        </a:xfrm>
        <a:prstGeom prst="rect">
          <a:avLst/>
        </a:prstGeom>
      </xdr:spPr>
    </xdr:pic>
    <xdr:clientData/>
  </xdr:twoCellAnchor>
  <xdr:twoCellAnchor>
    <xdr:from>
      <xdr:col>12</xdr:col>
      <xdr:colOff>447901</xdr:colOff>
      <xdr:row>100</xdr:row>
      <xdr:rowOff>20411</xdr:rowOff>
    </xdr:from>
    <xdr:to>
      <xdr:col>12</xdr:col>
      <xdr:colOff>879901</xdr:colOff>
      <xdr:row>100</xdr:row>
      <xdr:rowOff>452038</xdr:rowOff>
    </xdr:to>
    <xdr:pic>
      <xdr:nvPicPr>
        <xdr:cNvPr id="312" name="Picture 311">
          <a:extLst>
            <a:ext uri="{FF2B5EF4-FFF2-40B4-BE49-F238E27FC236}">
              <a16:creationId xmlns:a16="http://schemas.microsoft.com/office/drawing/2014/main" id="{A17C354C-2F98-470D-912F-B10841E98634}"/>
            </a:ext>
          </a:extLst>
        </xdr:cNvPr>
        <xdr:cNvPicPr>
          <a:picLocks noChangeAspect="1"/>
        </xdr:cNvPicPr>
      </xdr:nvPicPr>
      <xdr:blipFill>
        <a:blip xmlns:r="http://schemas.openxmlformats.org/officeDocument/2006/relationships" r:embed="rId15"/>
        <a:stretch>
          <a:fillRect/>
        </a:stretch>
      </xdr:blipFill>
      <xdr:spPr>
        <a:xfrm>
          <a:off x="5067526" y="23921357"/>
          <a:ext cx="432000" cy="431627"/>
        </a:xfrm>
        <a:prstGeom prst="rect">
          <a:avLst/>
        </a:prstGeom>
      </xdr:spPr>
    </xdr:pic>
    <xdr:clientData/>
  </xdr:twoCellAnchor>
  <xdr:twoCellAnchor>
    <xdr:from>
      <xdr:col>12</xdr:col>
      <xdr:colOff>442075</xdr:colOff>
      <xdr:row>102</xdr:row>
      <xdr:rowOff>12109</xdr:rowOff>
    </xdr:from>
    <xdr:to>
      <xdr:col>12</xdr:col>
      <xdr:colOff>874075</xdr:colOff>
      <xdr:row>102</xdr:row>
      <xdr:rowOff>444806</xdr:rowOff>
    </xdr:to>
    <xdr:pic>
      <xdr:nvPicPr>
        <xdr:cNvPr id="313" name="Picture 312">
          <a:extLst>
            <a:ext uri="{FF2B5EF4-FFF2-40B4-BE49-F238E27FC236}">
              <a16:creationId xmlns:a16="http://schemas.microsoft.com/office/drawing/2014/main" id="{60FC9166-4E9F-4CB4-9271-3020AC175903}"/>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61700" y="24824734"/>
          <a:ext cx="432000" cy="432697"/>
        </a:xfrm>
        <a:prstGeom prst="rect">
          <a:avLst/>
        </a:prstGeom>
        <a:noFill/>
      </xdr:spPr>
    </xdr:pic>
    <xdr:clientData/>
  </xdr:twoCellAnchor>
  <xdr:twoCellAnchor>
    <xdr:from>
      <xdr:col>12</xdr:col>
      <xdr:colOff>433003</xdr:colOff>
      <xdr:row>103</xdr:row>
      <xdr:rowOff>21270</xdr:rowOff>
    </xdr:from>
    <xdr:to>
      <xdr:col>12</xdr:col>
      <xdr:colOff>865003</xdr:colOff>
      <xdr:row>103</xdr:row>
      <xdr:rowOff>443745</xdr:rowOff>
    </xdr:to>
    <xdr:pic>
      <xdr:nvPicPr>
        <xdr:cNvPr id="314" name="Picture 313">
          <a:extLst>
            <a:ext uri="{FF2B5EF4-FFF2-40B4-BE49-F238E27FC236}">
              <a16:creationId xmlns:a16="http://schemas.microsoft.com/office/drawing/2014/main" id="{FB1E94D0-7852-422C-A8EA-88B44A5D25F8}"/>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52628" y="25289734"/>
          <a:ext cx="432000" cy="422475"/>
        </a:xfrm>
        <a:prstGeom prst="rect">
          <a:avLst/>
        </a:prstGeom>
        <a:noFill/>
      </xdr:spPr>
    </xdr:pic>
    <xdr:clientData/>
  </xdr:twoCellAnchor>
  <xdr:twoCellAnchor>
    <xdr:from>
      <xdr:col>12</xdr:col>
      <xdr:colOff>445477</xdr:colOff>
      <xdr:row>101</xdr:row>
      <xdr:rowOff>22677</xdr:rowOff>
    </xdr:from>
    <xdr:to>
      <xdr:col>12</xdr:col>
      <xdr:colOff>877477</xdr:colOff>
      <xdr:row>101</xdr:row>
      <xdr:rowOff>445152</xdr:rowOff>
    </xdr:to>
    <xdr:pic>
      <xdr:nvPicPr>
        <xdr:cNvPr id="315" name="Picture 314">
          <a:extLst>
            <a:ext uri="{FF2B5EF4-FFF2-40B4-BE49-F238E27FC236}">
              <a16:creationId xmlns:a16="http://schemas.microsoft.com/office/drawing/2014/main" id="{61A3BF34-F424-4F8A-9E1C-7659605FCB85}"/>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5102" y="24379463"/>
          <a:ext cx="432000" cy="422475"/>
        </a:xfrm>
        <a:prstGeom prst="rect">
          <a:avLst/>
        </a:prstGeom>
        <a:noFill/>
      </xdr:spPr>
    </xdr:pic>
    <xdr:clientData/>
  </xdr:twoCellAnchor>
  <xdr:twoCellAnchor>
    <xdr:from>
      <xdr:col>12</xdr:col>
      <xdr:colOff>442232</xdr:colOff>
      <xdr:row>104</xdr:row>
      <xdr:rowOff>15874</xdr:rowOff>
    </xdr:from>
    <xdr:to>
      <xdr:col>12</xdr:col>
      <xdr:colOff>874232</xdr:colOff>
      <xdr:row>104</xdr:row>
      <xdr:rowOff>447874</xdr:rowOff>
    </xdr:to>
    <xdr:pic>
      <xdr:nvPicPr>
        <xdr:cNvPr id="316" name="Picture 315">
          <a:extLst>
            <a:ext uri="{FF2B5EF4-FFF2-40B4-BE49-F238E27FC236}">
              <a16:creationId xmlns:a16="http://schemas.microsoft.com/office/drawing/2014/main" id="{77F28A4E-2028-414B-97AD-BAC1E3764BB0}"/>
            </a:ext>
          </a:extLst>
        </xdr:cNvPr>
        <xdr:cNvPicPr>
          <a:picLocks noChangeAspect="1"/>
        </xdr:cNvPicPr>
      </xdr:nvPicPr>
      <xdr:blipFill>
        <a:blip xmlns:r="http://schemas.openxmlformats.org/officeDocument/2006/relationships" r:embed="rId19"/>
        <a:stretch>
          <a:fillRect/>
        </a:stretch>
      </xdr:blipFill>
      <xdr:spPr>
        <a:xfrm>
          <a:off x="5061857" y="25740178"/>
          <a:ext cx="432000" cy="432000"/>
        </a:xfrm>
        <a:prstGeom prst="rect">
          <a:avLst/>
        </a:prstGeom>
      </xdr:spPr>
    </xdr:pic>
    <xdr:clientData/>
  </xdr:twoCellAnchor>
  <xdr:twoCellAnchor>
    <xdr:from>
      <xdr:col>12</xdr:col>
      <xdr:colOff>450013</xdr:colOff>
      <xdr:row>105</xdr:row>
      <xdr:rowOff>21543</xdr:rowOff>
    </xdr:from>
    <xdr:to>
      <xdr:col>12</xdr:col>
      <xdr:colOff>882013</xdr:colOff>
      <xdr:row>105</xdr:row>
      <xdr:rowOff>453543</xdr:rowOff>
    </xdr:to>
    <xdr:pic>
      <xdr:nvPicPr>
        <xdr:cNvPr id="317" name="Picture 316" descr="hair protection">
          <a:extLst>
            <a:ext uri="{FF2B5EF4-FFF2-40B4-BE49-F238E27FC236}">
              <a16:creationId xmlns:a16="http://schemas.microsoft.com/office/drawing/2014/main" id="{EDD8A9C4-5699-4C6E-991F-4B73D2DB8671}"/>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9638" y="26201686"/>
          <a:ext cx="432000" cy="432000"/>
        </a:xfrm>
        <a:prstGeom prst="rect">
          <a:avLst/>
        </a:prstGeom>
        <a:noFill/>
        <a:ln>
          <a:noFill/>
        </a:ln>
      </xdr:spPr>
    </xdr:pic>
    <xdr:clientData/>
  </xdr:twoCellAnchor>
  <xdr:twoCellAnchor>
    <xdr:from>
      <xdr:col>12</xdr:col>
      <xdr:colOff>430735</xdr:colOff>
      <xdr:row>106</xdr:row>
      <xdr:rowOff>23811</xdr:rowOff>
    </xdr:from>
    <xdr:to>
      <xdr:col>12</xdr:col>
      <xdr:colOff>862735</xdr:colOff>
      <xdr:row>106</xdr:row>
      <xdr:rowOff>446286</xdr:rowOff>
    </xdr:to>
    <xdr:pic>
      <xdr:nvPicPr>
        <xdr:cNvPr id="318" name="Picture 317" descr="head protection">
          <a:extLst>
            <a:ext uri="{FF2B5EF4-FFF2-40B4-BE49-F238E27FC236}">
              <a16:creationId xmlns:a16="http://schemas.microsoft.com/office/drawing/2014/main" id="{B6D5DD49-F37E-477A-A21B-4D0D0B011102}"/>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50360" y="26659793"/>
          <a:ext cx="432000" cy="422475"/>
        </a:xfrm>
        <a:prstGeom prst="rect">
          <a:avLst/>
        </a:prstGeom>
        <a:noFill/>
        <a:ln>
          <a:noFill/>
        </a:ln>
      </xdr:spPr>
    </xdr:pic>
    <xdr:clientData/>
  </xdr:twoCellAnchor>
  <xdr:twoCellAnchor>
    <xdr:from>
      <xdr:col>12</xdr:col>
      <xdr:colOff>481990</xdr:colOff>
      <xdr:row>109</xdr:row>
      <xdr:rowOff>20408</xdr:rowOff>
    </xdr:from>
    <xdr:to>
      <xdr:col>12</xdr:col>
      <xdr:colOff>913990</xdr:colOff>
      <xdr:row>109</xdr:row>
      <xdr:rowOff>442883</xdr:rowOff>
    </xdr:to>
    <xdr:pic>
      <xdr:nvPicPr>
        <xdr:cNvPr id="319" name="Picture 318">
          <a:extLst>
            <a:ext uri="{FF2B5EF4-FFF2-40B4-BE49-F238E27FC236}">
              <a16:creationId xmlns:a16="http://schemas.microsoft.com/office/drawing/2014/main" id="{81C00FC1-D211-494D-B2B1-AC188A58406C}"/>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101615" y="28023908"/>
          <a:ext cx="432000" cy="422475"/>
        </a:xfrm>
        <a:prstGeom prst="rect">
          <a:avLst/>
        </a:prstGeom>
        <a:noFill/>
        <a:ln>
          <a:noFill/>
        </a:ln>
      </xdr:spPr>
    </xdr:pic>
    <xdr:clientData/>
  </xdr:twoCellAnchor>
  <xdr:twoCellAnchor>
    <xdr:from>
      <xdr:col>12</xdr:col>
      <xdr:colOff>476094</xdr:colOff>
      <xdr:row>111</xdr:row>
      <xdr:rowOff>18142</xdr:rowOff>
    </xdr:from>
    <xdr:to>
      <xdr:col>12</xdr:col>
      <xdr:colOff>908094</xdr:colOff>
      <xdr:row>111</xdr:row>
      <xdr:rowOff>440617</xdr:rowOff>
    </xdr:to>
    <xdr:pic>
      <xdr:nvPicPr>
        <xdr:cNvPr id="320" name="Picture 319" descr="safety vests">
          <a:extLst>
            <a:ext uri="{FF2B5EF4-FFF2-40B4-BE49-F238E27FC236}">
              <a16:creationId xmlns:a16="http://schemas.microsoft.com/office/drawing/2014/main" id="{38C61A20-3DA9-4478-986C-6C0D15A6A8C6}"/>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095719" y="28933321"/>
          <a:ext cx="432000" cy="422475"/>
        </a:xfrm>
        <a:prstGeom prst="rect">
          <a:avLst/>
        </a:prstGeom>
        <a:noFill/>
        <a:ln>
          <a:noFill/>
        </a:ln>
      </xdr:spPr>
    </xdr:pic>
    <xdr:clientData/>
  </xdr:twoCellAnchor>
  <xdr:twoCellAnchor>
    <xdr:from>
      <xdr:col>12</xdr:col>
      <xdr:colOff>479048</xdr:colOff>
      <xdr:row>107</xdr:row>
      <xdr:rowOff>18541</xdr:rowOff>
    </xdr:from>
    <xdr:to>
      <xdr:col>12</xdr:col>
      <xdr:colOff>911048</xdr:colOff>
      <xdr:row>107</xdr:row>
      <xdr:rowOff>441016</xdr:rowOff>
    </xdr:to>
    <xdr:pic>
      <xdr:nvPicPr>
        <xdr:cNvPr id="321" name="Picture 320">
          <a:extLst>
            <a:ext uri="{FF2B5EF4-FFF2-40B4-BE49-F238E27FC236}">
              <a16:creationId xmlns:a16="http://schemas.microsoft.com/office/drawing/2014/main" id="{39F4186C-36A2-4714-AFC7-803C5D81C23F}"/>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98673" y="27110362"/>
          <a:ext cx="432000" cy="422475"/>
        </a:xfrm>
        <a:prstGeom prst="rect">
          <a:avLst/>
        </a:prstGeom>
        <a:noFill/>
      </xdr:spPr>
    </xdr:pic>
    <xdr:clientData/>
  </xdr:twoCellAnchor>
  <xdr:twoCellAnchor>
    <xdr:from>
      <xdr:col>12</xdr:col>
      <xdr:colOff>472691</xdr:colOff>
      <xdr:row>108</xdr:row>
      <xdr:rowOff>20410</xdr:rowOff>
    </xdr:from>
    <xdr:to>
      <xdr:col>12</xdr:col>
      <xdr:colOff>905440</xdr:colOff>
      <xdr:row>108</xdr:row>
      <xdr:rowOff>452410</xdr:rowOff>
    </xdr:to>
    <xdr:pic>
      <xdr:nvPicPr>
        <xdr:cNvPr id="322" name="Picture 321">
          <a:extLst>
            <a:ext uri="{FF2B5EF4-FFF2-40B4-BE49-F238E27FC236}">
              <a16:creationId xmlns:a16="http://schemas.microsoft.com/office/drawing/2014/main" id="{875E4174-3F3E-4BDB-A116-99484F92777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092316" y="27568071"/>
          <a:ext cx="432749" cy="432000"/>
        </a:xfrm>
        <a:prstGeom prst="rect">
          <a:avLst/>
        </a:prstGeom>
      </xdr:spPr>
    </xdr:pic>
    <xdr:clientData/>
  </xdr:twoCellAnchor>
  <xdr:twoCellAnchor>
    <xdr:from>
      <xdr:col>12</xdr:col>
      <xdr:colOff>476250</xdr:colOff>
      <xdr:row>110</xdr:row>
      <xdr:rowOff>17010</xdr:rowOff>
    </xdr:from>
    <xdr:to>
      <xdr:col>12</xdr:col>
      <xdr:colOff>908250</xdr:colOff>
      <xdr:row>110</xdr:row>
      <xdr:rowOff>449010</xdr:rowOff>
    </xdr:to>
    <xdr:pic>
      <xdr:nvPicPr>
        <xdr:cNvPr id="323" name="Picture 322">
          <a:extLst>
            <a:ext uri="{FF2B5EF4-FFF2-40B4-BE49-F238E27FC236}">
              <a16:creationId xmlns:a16="http://schemas.microsoft.com/office/drawing/2014/main" id="{F5630381-2553-4C30-83D9-196FFA5D6075}"/>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095875" y="28476349"/>
          <a:ext cx="432000" cy="432000"/>
        </a:xfrm>
        <a:prstGeom prst="rect">
          <a:avLst/>
        </a:prstGeom>
      </xdr:spPr>
    </xdr:pic>
    <xdr:clientData/>
  </xdr:twoCellAnchor>
  <xdr:twoCellAnchor>
    <xdr:from>
      <xdr:col>12</xdr:col>
      <xdr:colOff>436563</xdr:colOff>
      <xdr:row>112</xdr:row>
      <xdr:rowOff>17008</xdr:rowOff>
    </xdr:from>
    <xdr:to>
      <xdr:col>12</xdr:col>
      <xdr:colOff>868563</xdr:colOff>
      <xdr:row>112</xdr:row>
      <xdr:rowOff>449008</xdr:rowOff>
    </xdr:to>
    <xdr:pic>
      <xdr:nvPicPr>
        <xdr:cNvPr id="324" name="Picture 323">
          <a:extLst>
            <a:ext uri="{FF2B5EF4-FFF2-40B4-BE49-F238E27FC236}">
              <a16:creationId xmlns:a16="http://schemas.microsoft.com/office/drawing/2014/main" id="{8DC04297-191F-474E-BFF8-133666F88061}"/>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056188" y="29388026"/>
          <a:ext cx="432000" cy="432000"/>
        </a:xfrm>
        <a:prstGeom prst="rect">
          <a:avLst/>
        </a:prstGeom>
      </xdr:spPr>
    </xdr:pic>
    <xdr:clientData/>
  </xdr:twoCellAnchor>
  <xdr:twoCellAnchor>
    <xdr:from>
      <xdr:col>12</xdr:col>
      <xdr:colOff>443370</xdr:colOff>
      <xdr:row>113</xdr:row>
      <xdr:rowOff>17007</xdr:rowOff>
    </xdr:from>
    <xdr:to>
      <xdr:col>12</xdr:col>
      <xdr:colOff>875370</xdr:colOff>
      <xdr:row>113</xdr:row>
      <xdr:rowOff>449007</xdr:rowOff>
    </xdr:to>
    <xdr:pic>
      <xdr:nvPicPr>
        <xdr:cNvPr id="325" name="Picture 324">
          <a:extLst>
            <a:ext uri="{FF2B5EF4-FFF2-40B4-BE49-F238E27FC236}">
              <a16:creationId xmlns:a16="http://schemas.microsoft.com/office/drawing/2014/main" id="{8CB8378E-2779-4E27-BA61-C63D0A4D756B}"/>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062995" y="29843864"/>
          <a:ext cx="432000" cy="432000"/>
        </a:xfrm>
        <a:prstGeom prst="rect">
          <a:avLst/>
        </a:prstGeom>
        <a:noFill/>
      </xdr:spPr>
    </xdr:pic>
    <xdr:clientData/>
  </xdr:twoCellAnchor>
  <xdr:twoCellAnchor>
    <xdr:from>
      <xdr:col>12</xdr:col>
      <xdr:colOff>457020</xdr:colOff>
      <xdr:row>114</xdr:row>
      <xdr:rowOff>30345</xdr:rowOff>
    </xdr:from>
    <xdr:to>
      <xdr:col>12</xdr:col>
      <xdr:colOff>889020</xdr:colOff>
      <xdr:row>114</xdr:row>
      <xdr:rowOff>452820</xdr:rowOff>
    </xdr:to>
    <xdr:pic>
      <xdr:nvPicPr>
        <xdr:cNvPr id="326" name="Picture 325">
          <a:extLst>
            <a:ext uri="{FF2B5EF4-FFF2-40B4-BE49-F238E27FC236}">
              <a16:creationId xmlns:a16="http://schemas.microsoft.com/office/drawing/2014/main" id="{A56D8386-A64F-4515-AC89-8F2E4119D5EF}"/>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076645" y="30313041"/>
          <a:ext cx="432000" cy="422475"/>
        </a:xfrm>
        <a:prstGeom prst="rect">
          <a:avLst/>
        </a:prstGeom>
        <a:ln>
          <a:solidFill>
            <a:schemeClr val="tx1"/>
          </a:solidFill>
        </a:ln>
      </xdr:spPr>
    </xdr:pic>
    <xdr:clientData/>
  </xdr:twoCellAnchor>
  <xdr:twoCellAnchor>
    <xdr:from>
      <xdr:col>9</xdr:col>
      <xdr:colOff>431800</xdr:colOff>
      <xdr:row>95</xdr:row>
      <xdr:rowOff>18142</xdr:rowOff>
    </xdr:from>
    <xdr:to>
      <xdr:col>9</xdr:col>
      <xdr:colOff>864078</xdr:colOff>
      <xdr:row>95</xdr:row>
      <xdr:rowOff>440617</xdr:rowOff>
    </xdr:to>
    <xdr:pic>
      <xdr:nvPicPr>
        <xdr:cNvPr id="327" name="Picture 326" descr="face shield">
          <a:extLst>
            <a:ext uri="{FF2B5EF4-FFF2-40B4-BE49-F238E27FC236}">
              <a16:creationId xmlns:a16="http://schemas.microsoft.com/office/drawing/2014/main" id="{51904713-DF5F-4CFB-84C3-925536B9563C}"/>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96</xdr:row>
      <xdr:rowOff>18142</xdr:rowOff>
    </xdr:from>
    <xdr:to>
      <xdr:col>9</xdr:col>
      <xdr:colOff>864078</xdr:colOff>
      <xdr:row>96</xdr:row>
      <xdr:rowOff>440617</xdr:rowOff>
    </xdr:to>
    <xdr:pic>
      <xdr:nvPicPr>
        <xdr:cNvPr id="328" name="Picture 327" descr="face shield">
          <a:extLst>
            <a:ext uri="{FF2B5EF4-FFF2-40B4-BE49-F238E27FC236}">
              <a16:creationId xmlns:a16="http://schemas.microsoft.com/office/drawing/2014/main" id="{9B4E9CDE-369B-4F51-B188-31BA57D4DFEE}"/>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97</xdr:row>
      <xdr:rowOff>18142</xdr:rowOff>
    </xdr:from>
    <xdr:to>
      <xdr:col>9</xdr:col>
      <xdr:colOff>864078</xdr:colOff>
      <xdr:row>97</xdr:row>
      <xdr:rowOff>440617</xdr:rowOff>
    </xdr:to>
    <xdr:pic>
      <xdr:nvPicPr>
        <xdr:cNvPr id="329" name="Picture 328" descr="face shield">
          <a:extLst>
            <a:ext uri="{FF2B5EF4-FFF2-40B4-BE49-F238E27FC236}">
              <a16:creationId xmlns:a16="http://schemas.microsoft.com/office/drawing/2014/main" id="{ABAA6194-6203-4F56-8236-E0FE93FE9B7B}"/>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98</xdr:row>
      <xdr:rowOff>18142</xdr:rowOff>
    </xdr:from>
    <xdr:to>
      <xdr:col>9</xdr:col>
      <xdr:colOff>864078</xdr:colOff>
      <xdr:row>98</xdr:row>
      <xdr:rowOff>440617</xdr:rowOff>
    </xdr:to>
    <xdr:pic>
      <xdr:nvPicPr>
        <xdr:cNvPr id="330" name="Picture 329" descr="face shield">
          <a:extLst>
            <a:ext uri="{FF2B5EF4-FFF2-40B4-BE49-F238E27FC236}">
              <a16:creationId xmlns:a16="http://schemas.microsoft.com/office/drawing/2014/main" id="{DAC5D5AC-E530-473D-85DC-C292166B5DA5}"/>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99</xdr:row>
      <xdr:rowOff>18142</xdr:rowOff>
    </xdr:from>
    <xdr:to>
      <xdr:col>9</xdr:col>
      <xdr:colOff>864078</xdr:colOff>
      <xdr:row>99</xdr:row>
      <xdr:rowOff>440617</xdr:rowOff>
    </xdr:to>
    <xdr:pic>
      <xdr:nvPicPr>
        <xdr:cNvPr id="331" name="Picture 330" descr="face shield">
          <a:extLst>
            <a:ext uri="{FF2B5EF4-FFF2-40B4-BE49-F238E27FC236}">
              <a16:creationId xmlns:a16="http://schemas.microsoft.com/office/drawing/2014/main" id="{97CE482E-6220-46CE-BDD6-686E1BEF189D}"/>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100</xdr:row>
      <xdr:rowOff>18142</xdr:rowOff>
    </xdr:from>
    <xdr:to>
      <xdr:col>9</xdr:col>
      <xdr:colOff>864078</xdr:colOff>
      <xdr:row>100</xdr:row>
      <xdr:rowOff>440617</xdr:rowOff>
    </xdr:to>
    <xdr:pic>
      <xdr:nvPicPr>
        <xdr:cNvPr id="332" name="Picture 331" descr="face shield">
          <a:extLst>
            <a:ext uri="{FF2B5EF4-FFF2-40B4-BE49-F238E27FC236}">
              <a16:creationId xmlns:a16="http://schemas.microsoft.com/office/drawing/2014/main" id="{A232F82A-45A5-48A6-8CE6-EC2C36D91AC6}"/>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101</xdr:row>
      <xdr:rowOff>18142</xdr:rowOff>
    </xdr:from>
    <xdr:to>
      <xdr:col>9</xdr:col>
      <xdr:colOff>864078</xdr:colOff>
      <xdr:row>101</xdr:row>
      <xdr:rowOff>440617</xdr:rowOff>
    </xdr:to>
    <xdr:pic>
      <xdr:nvPicPr>
        <xdr:cNvPr id="333" name="Picture 332" descr="face shield">
          <a:extLst>
            <a:ext uri="{FF2B5EF4-FFF2-40B4-BE49-F238E27FC236}">
              <a16:creationId xmlns:a16="http://schemas.microsoft.com/office/drawing/2014/main" id="{766A20C0-2A56-46CE-BC81-2A9EB16076C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102</xdr:row>
      <xdr:rowOff>18142</xdr:rowOff>
    </xdr:from>
    <xdr:to>
      <xdr:col>9</xdr:col>
      <xdr:colOff>864078</xdr:colOff>
      <xdr:row>102</xdr:row>
      <xdr:rowOff>440617</xdr:rowOff>
    </xdr:to>
    <xdr:pic>
      <xdr:nvPicPr>
        <xdr:cNvPr id="334" name="Picture 333" descr="face shield">
          <a:extLst>
            <a:ext uri="{FF2B5EF4-FFF2-40B4-BE49-F238E27FC236}">
              <a16:creationId xmlns:a16="http://schemas.microsoft.com/office/drawing/2014/main" id="{DEDE5486-2BF9-41E8-B12D-E6EF0E5B94B6}"/>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103</xdr:row>
      <xdr:rowOff>18142</xdr:rowOff>
    </xdr:from>
    <xdr:to>
      <xdr:col>9</xdr:col>
      <xdr:colOff>864078</xdr:colOff>
      <xdr:row>103</xdr:row>
      <xdr:rowOff>440617</xdr:rowOff>
    </xdr:to>
    <xdr:pic>
      <xdr:nvPicPr>
        <xdr:cNvPr id="335" name="Picture 334" descr="face shield">
          <a:extLst>
            <a:ext uri="{FF2B5EF4-FFF2-40B4-BE49-F238E27FC236}">
              <a16:creationId xmlns:a16="http://schemas.microsoft.com/office/drawing/2014/main" id="{EE908B78-9CA3-4E2B-9C53-9D4714BE99D4}"/>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104</xdr:row>
      <xdr:rowOff>18142</xdr:rowOff>
    </xdr:from>
    <xdr:to>
      <xdr:col>9</xdr:col>
      <xdr:colOff>864078</xdr:colOff>
      <xdr:row>104</xdr:row>
      <xdr:rowOff>440617</xdr:rowOff>
    </xdr:to>
    <xdr:pic>
      <xdr:nvPicPr>
        <xdr:cNvPr id="336" name="Picture 335" descr="face shield">
          <a:extLst>
            <a:ext uri="{FF2B5EF4-FFF2-40B4-BE49-F238E27FC236}">
              <a16:creationId xmlns:a16="http://schemas.microsoft.com/office/drawing/2014/main" id="{384AC4F2-328C-4386-A6EE-66D7602F4A61}"/>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105</xdr:row>
      <xdr:rowOff>18142</xdr:rowOff>
    </xdr:from>
    <xdr:to>
      <xdr:col>9</xdr:col>
      <xdr:colOff>864078</xdr:colOff>
      <xdr:row>105</xdr:row>
      <xdr:rowOff>440617</xdr:rowOff>
    </xdr:to>
    <xdr:pic>
      <xdr:nvPicPr>
        <xdr:cNvPr id="337" name="Picture 336" descr="face shield">
          <a:extLst>
            <a:ext uri="{FF2B5EF4-FFF2-40B4-BE49-F238E27FC236}">
              <a16:creationId xmlns:a16="http://schemas.microsoft.com/office/drawing/2014/main" id="{1490ED25-8E1D-4482-B7A4-6E5235C76994}"/>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106</xdr:row>
      <xdr:rowOff>18142</xdr:rowOff>
    </xdr:from>
    <xdr:to>
      <xdr:col>9</xdr:col>
      <xdr:colOff>864078</xdr:colOff>
      <xdr:row>106</xdr:row>
      <xdr:rowOff>440617</xdr:rowOff>
    </xdr:to>
    <xdr:pic>
      <xdr:nvPicPr>
        <xdr:cNvPr id="338" name="Picture 337" descr="face shield">
          <a:extLst>
            <a:ext uri="{FF2B5EF4-FFF2-40B4-BE49-F238E27FC236}">
              <a16:creationId xmlns:a16="http://schemas.microsoft.com/office/drawing/2014/main" id="{6DDE5DBD-E23F-40DC-A3D7-6C19C87DD3AF}"/>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107</xdr:row>
      <xdr:rowOff>18142</xdr:rowOff>
    </xdr:from>
    <xdr:to>
      <xdr:col>9</xdr:col>
      <xdr:colOff>864078</xdr:colOff>
      <xdr:row>107</xdr:row>
      <xdr:rowOff>440617</xdr:rowOff>
    </xdr:to>
    <xdr:pic>
      <xdr:nvPicPr>
        <xdr:cNvPr id="339" name="Picture 338" descr="face shield">
          <a:extLst>
            <a:ext uri="{FF2B5EF4-FFF2-40B4-BE49-F238E27FC236}">
              <a16:creationId xmlns:a16="http://schemas.microsoft.com/office/drawing/2014/main" id="{4F601603-C1CA-44C4-A3C1-FF4575CBEB6E}"/>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108</xdr:row>
      <xdr:rowOff>18142</xdr:rowOff>
    </xdr:from>
    <xdr:to>
      <xdr:col>9</xdr:col>
      <xdr:colOff>864078</xdr:colOff>
      <xdr:row>108</xdr:row>
      <xdr:rowOff>440617</xdr:rowOff>
    </xdr:to>
    <xdr:pic>
      <xdr:nvPicPr>
        <xdr:cNvPr id="340" name="Picture 339" descr="face shield">
          <a:extLst>
            <a:ext uri="{FF2B5EF4-FFF2-40B4-BE49-F238E27FC236}">
              <a16:creationId xmlns:a16="http://schemas.microsoft.com/office/drawing/2014/main" id="{E5728627-FA85-4922-A2DF-99D2E124154C}"/>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109</xdr:row>
      <xdr:rowOff>18142</xdr:rowOff>
    </xdr:from>
    <xdr:to>
      <xdr:col>9</xdr:col>
      <xdr:colOff>864078</xdr:colOff>
      <xdr:row>109</xdr:row>
      <xdr:rowOff>440617</xdr:rowOff>
    </xdr:to>
    <xdr:pic>
      <xdr:nvPicPr>
        <xdr:cNvPr id="341" name="Picture 340" descr="face shield">
          <a:extLst>
            <a:ext uri="{FF2B5EF4-FFF2-40B4-BE49-F238E27FC236}">
              <a16:creationId xmlns:a16="http://schemas.microsoft.com/office/drawing/2014/main" id="{665D2146-0C74-42AA-BD5A-613E164B8F8A}"/>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110</xdr:row>
      <xdr:rowOff>18142</xdr:rowOff>
    </xdr:from>
    <xdr:to>
      <xdr:col>9</xdr:col>
      <xdr:colOff>864078</xdr:colOff>
      <xdr:row>110</xdr:row>
      <xdr:rowOff>440617</xdr:rowOff>
    </xdr:to>
    <xdr:pic>
      <xdr:nvPicPr>
        <xdr:cNvPr id="342" name="Picture 341" descr="face shield">
          <a:extLst>
            <a:ext uri="{FF2B5EF4-FFF2-40B4-BE49-F238E27FC236}">
              <a16:creationId xmlns:a16="http://schemas.microsoft.com/office/drawing/2014/main" id="{EF3CD6E1-554E-4D9E-9945-1EF65AC2BEFE}"/>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111</xdr:row>
      <xdr:rowOff>18142</xdr:rowOff>
    </xdr:from>
    <xdr:to>
      <xdr:col>9</xdr:col>
      <xdr:colOff>864078</xdr:colOff>
      <xdr:row>111</xdr:row>
      <xdr:rowOff>440617</xdr:rowOff>
    </xdr:to>
    <xdr:pic>
      <xdr:nvPicPr>
        <xdr:cNvPr id="343" name="Picture 342" descr="face shield">
          <a:extLst>
            <a:ext uri="{FF2B5EF4-FFF2-40B4-BE49-F238E27FC236}">
              <a16:creationId xmlns:a16="http://schemas.microsoft.com/office/drawing/2014/main" id="{7F61426B-B211-4C17-855E-B5A33A398609}"/>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112</xdr:row>
      <xdr:rowOff>18142</xdr:rowOff>
    </xdr:from>
    <xdr:to>
      <xdr:col>9</xdr:col>
      <xdr:colOff>864078</xdr:colOff>
      <xdr:row>112</xdr:row>
      <xdr:rowOff>440617</xdr:rowOff>
    </xdr:to>
    <xdr:pic>
      <xdr:nvPicPr>
        <xdr:cNvPr id="344" name="Picture 343" descr="face shield">
          <a:extLst>
            <a:ext uri="{FF2B5EF4-FFF2-40B4-BE49-F238E27FC236}">
              <a16:creationId xmlns:a16="http://schemas.microsoft.com/office/drawing/2014/main" id="{5FA52461-0B60-4503-AB01-B1D83F4252B8}"/>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113</xdr:row>
      <xdr:rowOff>18142</xdr:rowOff>
    </xdr:from>
    <xdr:to>
      <xdr:col>9</xdr:col>
      <xdr:colOff>864078</xdr:colOff>
      <xdr:row>113</xdr:row>
      <xdr:rowOff>440617</xdr:rowOff>
    </xdr:to>
    <xdr:pic>
      <xdr:nvPicPr>
        <xdr:cNvPr id="345" name="Picture 344" descr="face shield">
          <a:extLst>
            <a:ext uri="{FF2B5EF4-FFF2-40B4-BE49-F238E27FC236}">
              <a16:creationId xmlns:a16="http://schemas.microsoft.com/office/drawing/2014/main" id="{A651079A-80DB-4BA9-9684-2BFA684E6A75}"/>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431800</xdr:colOff>
      <xdr:row>114</xdr:row>
      <xdr:rowOff>18142</xdr:rowOff>
    </xdr:from>
    <xdr:to>
      <xdr:col>9</xdr:col>
      <xdr:colOff>864078</xdr:colOff>
      <xdr:row>114</xdr:row>
      <xdr:rowOff>440617</xdr:rowOff>
    </xdr:to>
    <xdr:pic>
      <xdr:nvPicPr>
        <xdr:cNvPr id="346" name="Picture 345" descr="face shield">
          <a:extLst>
            <a:ext uri="{FF2B5EF4-FFF2-40B4-BE49-F238E27FC236}">
              <a16:creationId xmlns:a16="http://schemas.microsoft.com/office/drawing/2014/main" id="{6D11ED18-8C44-4E7E-B038-8264306726CB}"/>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10229" y="30756678"/>
          <a:ext cx="432278" cy="422475"/>
        </a:xfrm>
        <a:prstGeom prst="rect">
          <a:avLst/>
        </a:prstGeom>
        <a:noFill/>
        <a:ln>
          <a:noFill/>
        </a:ln>
      </xdr:spPr>
    </xdr:pic>
    <xdr:clientData/>
  </xdr:twoCellAnchor>
  <xdr:twoCellAnchor>
    <xdr:from>
      <xdr:col>9</xdr:col>
      <xdr:colOff>453118</xdr:colOff>
      <xdr:row>74</xdr:row>
      <xdr:rowOff>19050</xdr:rowOff>
    </xdr:from>
    <xdr:to>
      <xdr:col>9</xdr:col>
      <xdr:colOff>885118</xdr:colOff>
      <xdr:row>74</xdr:row>
      <xdr:rowOff>451050</xdr:rowOff>
    </xdr:to>
    <xdr:pic>
      <xdr:nvPicPr>
        <xdr:cNvPr id="347" name="Picture 346">
          <a:extLst>
            <a:ext uri="{FF2B5EF4-FFF2-40B4-BE49-F238E27FC236}">
              <a16:creationId xmlns:a16="http://schemas.microsoft.com/office/drawing/2014/main" id="{DA251D30-4F3E-4103-ADC6-6275C5602008}"/>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75</xdr:row>
      <xdr:rowOff>19050</xdr:rowOff>
    </xdr:from>
    <xdr:to>
      <xdr:col>9</xdr:col>
      <xdr:colOff>885118</xdr:colOff>
      <xdr:row>75</xdr:row>
      <xdr:rowOff>451050</xdr:rowOff>
    </xdr:to>
    <xdr:pic>
      <xdr:nvPicPr>
        <xdr:cNvPr id="348" name="Picture 347">
          <a:extLst>
            <a:ext uri="{FF2B5EF4-FFF2-40B4-BE49-F238E27FC236}">
              <a16:creationId xmlns:a16="http://schemas.microsoft.com/office/drawing/2014/main" id="{94D5F3D1-D288-41CC-9628-5026BCA0D4C3}"/>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76</xdr:row>
      <xdr:rowOff>19050</xdr:rowOff>
    </xdr:from>
    <xdr:to>
      <xdr:col>9</xdr:col>
      <xdr:colOff>885118</xdr:colOff>
      <xdr:row>76</xdr:row>
      <xdr:rowOff>451050</xdr:rowOff>
    </xdr:to>
    <xdr:pic>
      <xdr:nvPicPr>
        <xdr:cNvPr id="349" name="Picture 348">
          <a:extLst>
            <a:ext uri="{FF2B5EF4-FFF2-40B4-BE49-F238E27FC236}">
              <a16:creationId xmlns:a16="http://schemas.microsoft.com/office/drawing/2014/main" id="{FFA5217D-6992-4644-A65F-7AAC80416E25}"/>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77</xdr:row>
      <xdr:rowOff>19050</xdr:rowOff>
    </xdr:from>
    <xdr:to>
      <xdr:col>9</xdr:col>
      <xdr:colOff>885118</xdr:colOff>
      <xdr:row>77</xdr:row>
      <xdr:rowOff>451050</xdr:rowOff>
    </xdr:to>
    <xdr:pic>
      <xdr:nvPicPr>
        <xdr:cNvPr id="350" name="Picture 349">
          <a:extLst>
            <a:ext uri="{FF2B5EF4-FFF2-40B4-BE49-F238E27FC236}">
              <a16:creationId xmlns:a16="http://schemas.microsoft.com/office/drawing/2014/main" id="{75698D45-26E9-4A07-A880-DE62A39450E3}"/>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78</xdr:row>
      <xdr:rowOff>19050</xdr:rowOff>
    </xdr:from>
    <xdr:to>
      <xdr:col>9</xdr:col>
      <xdr:colOff>885118</xdr:colOff>
      <xdr:row>78</xdr:row>
      <xdr:rowOff>451050</xdr:rowOff>
    </xdr:to>
    <xdr:pic>
      <xdr:nvPicPr>
        <xdr:cNvPr id="351" name="Picture 350">
          <a:extLst>
            <a:ext uri="{FF2B5EF4-FFF2-40B4-BE49-F238E27FC236}">
              <a16:creationId xmlns:a16="http://schemas.microsoft.com/office/drawing/2014/main" id="{224DE1BD-70C9-4C5B-90CE-2E99772E9B9D}"/>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79</xdr:row>
      <xdr:rowOff>19050</xdr:rowOff>
    </xdr:from>
    <xdr:to>
      <xdr:col>9</xdr:col>
      <xdr:colOff>885118</xdr:colOff>
      <xdr:row>79</xdr:row>
      <xdr:rowOff>451050</xdr:rowOff>
    </xdr:to>
    <xdr:pic>
      <xdr:nvPicPr>
        <xdr:cNvPr id="352" name="Picture 351">
          <a:extLst>
            <a:ext uri="{FF2B5EF4-FFF2-40B4-BE49-F238E27FC236}">
              <a16:creationId xmlns:a16="http://schemas.microsoft.com/office/drawing/2014/main" id="{4132A5E2-8F72-45C9-A4DB-1ED573C852FB}"/>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80</xdr:row>
      <xdr:rowOff>19050</xdr:rowOff>
    </xdr:from>
    <xdr:to>
      <xdr:col>9</xdr:col>
      <xdr:colOff>885118</xdr:colOff>
      <xdr:row>80</xdr:row>
      <xdr:rowOff>451050</xdr:rowOff>
    </xdr:to>
    <xdr:pic>
      <xdr:nvPicPr>
        <xdr:cNvPr id="353" name="Picture 352">
          <a:extLst>
            <a:ext uri="{FF2B5EF4-FFF2-40B4-BE49-F238E27FC236}">
              <a16:creationId xmlns:a16="http://schemas.microsoft.com/office/drawing/2014/main" id="{342E359F-CBF1-42D9-A1B2-97208B9E68D0}"/>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81</xdr:row>
      <xdr:rowOff>19050</xdr:rowOff>
    </xdr:from>
    <xdr:to>
      <xdr:col>9</xdr:col>
      <xdr:colOff>885118</xdr:colOff>
      <xdr:row>81</xdr:row>
      <xdr:rowOff>451050</xdr:rowOff>
    </xdr:to>
    <xdr:pic>
      <xdr:nvPicPr>
        <xdr:cNvPr id="354" name="Picture 353">
          <a:extLst>
            <a:ext uri="{FF2B5EF4-FFF2-40B4-BE49-F238E27FC236}">
              <a16:creationId xmlns:a16="http://schemas.microsoft.com/office/drawing/2014/main" id="{ECB315B7-9A6F-433C-B8C8-CCEFF5560255}"/>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82</xdr:row>
      <xdr:rowOff>19050</xdr:rowOff>
    </xdr:from>
    <xdr:to>
      <xdr:col>9</xdr:col>
      <xdr:colOff>885118</xdr:colOff>
      <xdr:row>82</xdr:row>
      <xdr:rowOff>451050</xdr:rowOff>
    </xdr:to>
    <xdr:pic>
      <xdr:nvPicPr>
        <xdr:cNvPr id="355" name="Picture 354">
          <a:extLst>
            <a:ext uri="{FF2B5EF4-FFF2-40B4-BE49-F238E27FC236}">
              <a16:creationId xmlns:a16="http://schemas.microsoft.com/office/drawing/2014/main" id="{15295197-8947-4282-89AA-F85EEFA56865}"/>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83</xdr:row>
      <xdr:rowOff>19050</xdr:rowOff>
    </xdr:from>
    <xdr:to>
      <xdr:col>9</xdr:col>
      <xdr:colOff>885118</xdr:colOff>
      <xdr:row>83</xdr:row>
      <xdr:rowOff>451050</xdr:rowOff>
    </xdr:to>
    <xdr:pic>
      <xdr:nvPicPr>
        <xdr:cNvPr id="356" name="Picture 355">
          <a:extLst>
            <a:ext uri="{FF2B5EF4-FFF2-40B4-BE49-F238E27FC236}">
              <a16:creationId xmlns:a16="http://schemas.microsoft.com/office/drawing/2014/main" id="{FE1DEF80-02DC-4BCD-B3D7-8A0D51562375}"/>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84</xdr:row>
      <xdr:rowOff>19050</xdr:rowOff>
    </xdr:from>
    <xdr:to>
      <xdr:col>9</xdr:col>
      <xdr:colOff>885118</xdr:colOff>
      <xdr:row>84</xdr:row>
      <xdr:rowOff>451050</xdr:rowOff>
    </xdr:to>
    <xdr:pic>
      <xdr:nvPicPr>
        <xdr:cNvPr id="357" name="Picture 356">
          <a:extLst>
            <a:ext uri="{FF2B5EF4-FFF2-40B4-BE49-F238E27FC236}">
              <a16:creationId xmlns:a16="http://schemas.microsoft.com/office/drawing/2014/main" id="{AEBAB1E1-C21A-4308-B273-7996F1B95DA6}"/>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85</xdr:row>
      <xdr:rowOff>19050</xdr:rowOff>
    </xdr:from>
    <xdr:to>
      <xdr:col>9</xdr:col>
      <xdr:colOff>885118</xdr:colOff>
      <xdr:row>85</xdr:row>
      <xdr:rowOff>451050</xdr:rowOff>
    </xdr:to>
    <xdr:pic>
      <xdr:nvPicPr>
        <xdr:cNvPr id="358" name="Picture 357">
          <a:extLst>
            <a:ext uri="{FF2B5EF4-FFF2-40B4-BE49-F238E27FC236}">
              <a16:creationId xmlns:a16="http://schemas.microsoft.com/office/drawing/2014/main" id="{F449E9B8-F9CB-4A82-AED1-BCA83582E93E}"/>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86</xdr:row>
      <xdr:rowOff>19050</xdr:rowOff>
    </xdr:from>
    <xdr:to>
      <xdr:col>9</xdr:col>
      <xdr:colOff>885118</xdr:colOff>
      <xdr:row>86</xdr:row>
      <xdr:rowOff>451050</xdr:rowOff>
    </xdr:to>
    <xdr:pic>
      <xdr:nvPicPr>
        <xdr:cNvPr id="359" name="Picture 358">
          <a:extLst>
            <a:ext uri="{FF2B5EF4-FFF2-40B4-BE49-F238E27FC236}">
              <a16:creationId xmlns:a16="http://schemas.microsoft.com/office/drawing/2014/main" id="{07037615-7809-47B5-B5E9-7C7933124470}"/>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87</xdr:row>
      <xdr:rowOff>19050</xdr:rowOff>
    </xdr:from>
    <xdr:to>
      <xdr:col>9</xdr:col>
      <xdr:colOff>885118</xdr:colOff>
      <xdr:row>87</xdr:row>
      <xdr:rowOff>451050</xdr:rowOff>
    </xdr:to>
    <xdr:pic>
      <xdr:nvPicPr>
        <xdr:cNvPr id="360" name="Picture 359">
          <a:extLst>
            <a:ext uri="{FF2B5EF4-FFF2-40B4-BE49-F238E27FC236}">
              <a16:creationId xmlns:a16="http://schemas.microsoft.com/office/drawing/2014/main" id="{26FFD704-14C6-45CF-81E1-32A7F29FF752}"/>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88</xdr:row>
      <xdr:rowOff>19050</xdr:rowOff>
    </xdr:from>
    <xdr:to>
      <xdr:col>9</xdr:col>
      <xdr:colOff>885118</xdr:colOff>
      <xdr:row>88</xdr:row>
      <xdr:rowOff>451050</xdr:rowOff>
    </xdr:to>
    <xdr:pic>
      <xdr:nvPicPr>
        <xdr:cNvPr id="361" name="Picture 360">
          <a:extLst>
            <a:ext uri="{FF2B5EF4-FFF2-40B4-BE49-F238E27FC236}">
              <a16:creationId xmlns:a16="http://schemas.microsoft.com/office/drawing/2014/main" id="{2E6709C0-0144-42A0-8F3B-A3CA260B20CA}"/>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89</xdr:row>
      <xdr:rowOff>19050</xdr:rowOff>
    </xdr:from>
    <xdr:to>
      <xdr:col>9</xdr:col>
      <xdr:colOff>885118</xdr:colOff>
      <xdr:row>89</xdr:row>
      <xdr:rowOff>451050</xdr:rowOff>
    </xdr:to>
    <xdr:pic>
      <xdr:nvPicPr>
        <xdr:cNvPr id="362" name="Picture 361">
          <a:extLst>
            <a:ext uri="{FF2B5EF4-FFF2-40B4-BE49-F238E27FC236}">
              <a16:creationId xmlns:a16="http://schemas.microsoft.com/office/drawing/2014/main" id="{91D2A24C-DF95-459D-9691-4F335E54E589}"/>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90</xdr:row>
      <xdr:rowOff>19050</xdr:rowOff>
    </xdr:from>
    <xdr:to>
      <xdr:col>9</xdr:col>
      <xdr:colOff>885118</xdr:colOff>
      <xdr:row>90</xdr:row>
      <xdr:rowOff>451050</xdr:rowOff>
    </xdr:to>
    <xdr:pic>
      <xdr:nvPicPr>
        <xdr:cNvPr id="363" name="Picture 362">
          <a:extLst>
            <a:ext uri="{FF2B5EF4-FFF2-40B4-BE49-F238E27FC236}">
              <a16:creationId xmlns:a16="http://schemas.microsoft.com/office/drawing/2014/main" id="{D09ED961-65CC-47B6-87EC-7B5514C8CD21}"/>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91</xdr:row>
      <xdr:rowOff>19050</xdr:rowOff>
    </xdr:from>
    <xdr:to>
      <xdr:col>9</xdr:col>
      <xdr:colOff>885118</xdr:colOff>
      <xdr:row>91</xdr:row>
      <xdr:rowOff>451050</xdr:rowOff>
    </xdr:to>
    <xdr:pic>
      <xdr:nvPicPr>
        <xdr:cNvPr id="364" name="Picture 363">
          <a:extLst>
            <a:ext uri="{FF2B5EF4-FFF2-40B4-BE49-F238E27FC236}">
              <a16:creationId xmlns:a16="http://schemas.microsoft.com/office/drawing/2014/main" id="{30BBCB2A-B73D-43CE-B353-5EF45BEFB230}"/>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92</xdr:row>
      <xdr:rowOff>19050</xdr:rowOff>
    </xdr:from>
    <xdr:to>
      <xdr:col>9</xdr:col>
      <xdr:colOff>885118</xdr:colOff>
      <xdr:row>92</xdr:row>
      <xdr:rowOff>451050</xdr:rowOff>
    </xdr:to>
    <xdr:pic>
      <xdr:nvPicPr>
        <xdr:cNvPr id="365" name="Picture 364">
          <a:extLst>
            <a:ext uri="{FF2B5EF4-FFF2-40B4-BE49-F238E27FC236}">
              <a16:creationId xmlns:a16="http://schemas.microsoft.com/office/drawing/2014/main" id="{E0135904-7786-423D-BA40-1291800B5A22}"/>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453118</xdr:colOff>
      <xdr:row>93</xdr:row>
      <xdr:rowOff>19050</xdr:rowOff>
    </xdr:from>
    <xdr:to>
      <xdr:col>9</xdr:col>
      <xdr:colOff>885118</xdr:colOff>
      <xdr:row>93</xdr:row>
      <xdr:rowOff>451050</xdr:rowOff>
    </xdr:to>
    <xdr:pic>
      <xdr:nvPicPr>
        <xdr:cNvPr id="366" name="Picture 365">
          <a:extLst>
            <a:ext uri="{FF2B5EF4-FFF2-40B4-BE49-F238E27FC236}">
              <a16:creationId xmlns:a16="http://schemas.microsoft.com/office/drawing/2014/main" id="{2D2067E4-A4B8-4843-BD24-361B0B68C91B}"/>
            </a:ext>
          </a:extLst>
        </xdr:cNvPr>
        <xdr:cNvPicPr>
          <a:picLocks noChangeAspect="1"/>
        </xdr:cNvPicPr>
      </xdr:nvPicPr>
      <xdr:blipFill>
        <a:blip xmlns:r="http://schemas.openxmlformats.org/officeDocument/2006/relationships" r:embed="rId9"/>
        <a:stretch>
          <a:fillRect/>
        </a:stretch>
      </xdr:blipFill>
      <xdr:spPr>
        <a:xfrm>
          <a:off x="2031547" y="21184961"/>
          <a:ext cx="432000" cy="432000"/>
        </a:xfrm>
        <a:prstGeom prst="rect">
          <a:avLst/>
        </a:prstGeom>
      </xdr:spPr>
    </xdr:pic>
    <xdr:clientData/>
  </xdr:twoCellAnchor>
  <xdr:twoCellAnchor>
    <xdr:from>
      <xdr:col>9</xdr:col>
      <xdr:colOff>452664</xdr:colOff>
      <xdr:row>70</xdr:row>
      <xdr:rowOff>23584</xdr:rowOff>
    </xdr:from>
    <xdr:to>
      <xdr:col>9</xdr:col>
      <xdr:colOff>884664</xdr:colOff>
      <xdr:row>70</xdr:row>
      <xdr:rowOff>446059</xdr:rowOff>
    </xdr:to>
    <xdr:pic>
      <xdr:nvPicPr>
        <xdr:cNvPr id="367" name="Picture 366">
          <a:extLst>
            <a:ext uri="{FF2B5EF4-FFF2-40B4-BE49-F238E27FC236}">
              <a16:creationId xmlns:a16="http://schemas.microsoft.com/office/drawing/2014/main" id="{DE92006F-4663-4D84-B7EB-CB917E86708A}"/>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9366138"/>
          <a:ext cx="432000" cy="422475"/>
        </a:xfrm>
        <a:prstGeom prst="rect">
          <a:avLst/>
        </a:prstGeom>
      </xdr:spPr>
    </xdr:pic>
    <xdr:clientData/>
  </xdr:twoCellAnchor>
  <xdr:twoCellAnchor>
    <xdr:from>
      <xdr:col>9</xdr:col>
      <xdr:colOff>452664</xdr:colOff>
      <xdr:row>71</xdr:row>
      <xdr:rowOff>23584</xdr:rowOff>
    </xdr:from>
    <xdr:to>
      <xdr:col>9</xdr:col>
      <xdr:colOff>884664</xdr:colOff>
      <xdr:row>71</xdr:row>
      <xdr:rowOff>446059</xdr:rowOff>
    </xdr:to>
    <xdr:pic>
      <xdr:nvPicPr>
        <xdr:cNvPr id="368" name="Picture 367">
          <a:extLst>
            <a:ext uri="{FF2B5EF4-FFF2-40B4-BE49-F238E27FC236}">
              <a16:creationId xmlns:a16="http://schemas.microsoft.com/office/drawing/2014/main" id="{32EE8902-55B7-4584-B7A3-4B87D4B3BD9F}"/>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9366138"/>
          <a:ext cx="432000" cy="422475"/>
        </a:xfrm>
        <a:prstGeom prst="rect">
          <a:avLst/>
        </a:prstGeom>
      </xdr:spPr>
    </xdr:pic>
    <xdr:clientData/>
  </xdr:twoCellAnchor>
  <xdr:twoCellAnchor>
    <xdr:from>
      <xdr:col>9</xdr:col>
      <xdr:colOff>452664</xdr:colOff>
      <xdr:row>72</xdr:row>
      <xdr:rowOff>23584</xdr:rowOff>
    </xdr:from>
    <xdr:to>
      <xdr:col>9</xdr:col>
      <xdr:colOff>884664</xdr:colOff>
      <xdr:row>72</xdr:row>
      <xdr:rowOff>446059</xdr:rowOff>
    </xdr:to>
    <xdr:pic>
      <xdr:nvPicPr>
        <xdr:cNvPr id="369" name="Picture 368">
          <a:extLst>
            <a:ext uri="{FF2B5EF4-FFF2-40B4-BE49-F238E27FC236}">
              <a16:creationId xmlns:a16="http://schemas.microsoft.com/office/drawing/2014/main" id="{E2E05B50-19CB-4E56-9730-AEBD1D38DB01}"/>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2031093" y="19366138"/>
          <a:ext cx="432000" cy="422475"/>
        </a:xfrm>
        <a:prstGeom prst="rect">
          <a:avLst/>
        </a:prstGeom>
      </xdr:spPr>
    </xdr:pic>
    <xdr:clientData/>
  </xdr:twoCellAnchor>
  <xdr:twoCellAnchor>
    <xdr:from>
      <xdr:col>12</xdr:col>
      <xdr:colOff>448878</xdr:colOff>
      <xdr:row>115</xdr:row>
      <xdr:rowOff>23131</xdr:rowOff>
    </xdr:from>
    <xdr:to>
      <xdr:col>12</xdr:col>
      <xdr:colOff>880878</xdr:colOff>
      <xdr:row>115</xdr:row>
      <xdr:rowOff>455131</xdr:rowOff>
    </xdr:to>
    <xdr:pic>
      <xdr:nvPicPr>
        <xdr:cNvPr id="370" name="Picture 369">
          <a:extLst>
            <a:ext uri="{FF2B5EF4-FFF2-40B4-BE49-F238E27FC236}">
              <a16:creationId xmlns:a16="http://schemas.microsoft.com/office/drawing/2014/main" id="{7D61EE9F-F1A3-42DE-A2D4-5FF64AE9D64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5068503" y="30761667"/>
          <a:ext cx="432000" cy="432000"/>
        </a:xfrm>
        <a:prstGeom prst="rect">
          <a:avLst/>
        </a:prstGeom>
        <a:noFill/>
        <a:ln>
          <a:noFill/>
        </a:ln>
      </xdr:spPr>
    </xdr:pic>
    <xdr:clientData/>
  </xdr:twoCellAnchor>
  <xdr:twoCellAnchor>
    <xdr:from>
      <xdr:col>12</xdr:col>
      <xdr:colOff>442982</xdr:colOff>
      <xdr:row>119</xdr:row>
      <xdr:rowOff>16328</xdr:rowOff>
    </xdr:from>
    <xdr:to>
      <xdr:col>12</xdr:col>
      <xdr:colOff>874367</xdr:colOff>
      <xdr:row>119</xdr:row>
      <xdr:rowOff>448328</xdr:rowOff>
    </xdr:to>
    <xdr:pic>
      <xdr:nvPicPr>
        <xdr:cNvPr id="371" name="Picture 370">
          <a:extLst>
            <a:ext uri="{FF2B5EF4-FFF2-40B4-BE49-F238E27FC236}">
              <a16:creationId xmlns:a16="http://schemas.microsoft.com/office/drawing/2014/main" id="{F562CD82-3D3F-4263-9E83-F74E35C69E0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62607" y="32578221"/>
          <a:ext cx="431385" cy="432000"/>
        </a:xfrm>
        <a:prstGeom prst="rect">
          <a:avLst/>
        </a:prstGeom>
      </xdr:spPr>
    </xdr:pic>
    <xdr:clientData/>
  </xdr:twoCellAnchor>
  <xdr:twoCellAnchor>
    <xdr:from>
      <xdr:col>12</xdr:col>
      <xdr:colOff>399596</xdr:colOff>
      <xdr:row>116</xdr:row>
      <xdr:rowOff>21636</xdr:rowOff>
    </xdr:from>
    <xdr:to>
      <xdr:col>12</xdr:col>
      <xdr:colOff>831596</xdr:colOff>
      <xdr:row>116</xdr:row>
      <xdr:rowOff>444111</xdr:rowOff>
    </xdr:to>
    <xdr:pic>
      <xdr:nvPicPr>
        <xdr:cNvPr id="372" name="Picture 371">
          <a:extLst>
            <a:ext uri="{FF2B5EF4-FFF2-40B4-BE49-F238E27FC236}">
              <a16:creationId xmlns:a16="http://schemas.microsoft.com/office/drawing/2014/main" id="{5D909607-5614-4E75-B941-E06FD415EBD7}"/>
            </a:ext>
          </a:extLst>
        </xdr:cNvPr>
        <xdr:cNvPicPr>
          <a:picLocks noChangeAspect="1"/>
        </xdr:cNvPicPr>
      </xdr:nvPicPr>
      <xdr:blipFill>
        <a:blip xmlns:r="http://schemas.openxmlformats.org/officeDocument/2006/relationships" r:embed="rId12"/>
        <a:stretch>
          <a:fillRect/>
        </a:stretch>
      </xdr:blipFill>
      <xdr:spPr>
        <a:xfrm>
          <a:off x="5019221" y="31216011"/>
          <a:ext cx="432000" cy="422475"/>
        </a:xfrm>
        <a:prstGeom prst="rect">
          <a:avLst/>
        </a:prstGeom>
      </xdr:spPr>
    </xdr:pic>
    <xdr:clientData/>
  </xdr:twoCellAnchor>
  <xdr:twoCellAnchor>
    <xdr:from>
      <xdr:col>12</xdr:col>
      <xdr:colOff>432255</xdr:colOff>
      <xdr:row>118</xdr:row>
      <xdr:rowOff>17235</xdr:rowOff>
    </xdr:from>
    <xdr:to>
      <xdr:col>12</xdr:col>
      <xdr:colOff>864372</xdr:colOff>
      <xdr:row>118</xdr:row>
      <xdr:rowOff>449235</xdr:rowOff>
    </xdr:to>
    <xdr:pic>
      <xdr:nvPicPr>
        <xdr:cNvPr id="373" name="Picture 372">
          <a:extLst>
            <a:ext uri="{FF2B5EF4-FFF2-40B4-BE49-F238E27FC236}">
              <a16:creationId xmlns:a16="http://schemas.microsoft.com/office/drawing/2014/main" id="{9210EC66-A953-43AB-B218-6A5EECA656AB}"/>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051880" y="32123289"/>
          <a:ext cx="432117" cy="432000"/>
        </a:xfrm>
        <a:prstGeom prst="rect">
          <a:avLst/>
        </a:prstGeom>
      </xdr:spPr>
    </xdr:pic>
    <xdr:clientData/>
  </xdr:twoCellAnchor>
  <xdr:twoCellAnchor>
    <xdr:from>
      <xdr:col>12</xdr:col>
      <xdr:colOff>423181</xdr:colOff>
      <xdr:row>117</xdr:row>
      <xdr:rowOff>17237</xdr:rowOff>
    </xdr:from>
    <xdr:to>
      <xdr:col>12</xdr:col>
      <xdr:colOff>855181</xdr:colOff>
      <xdr:row>117</xdr:row>
      <xdr:rowOff>439712</xdr:rowOff>
    </xdr:to>
    <xdr:pic>
      <xdr:nvPicPr>
        <xdr:cNvPr id="374" name="Picture 373">
          <a:extLst>
            <a:ext uri="{FF2B5EF4-FFF2-40B4-BE49-F238E27FC236}">
              <a16:creationId xmlns:a16="http://schemas.microsoft.com/office/drawing/2014/main" id="{20C978AF-983C-4394-895E-D584F90666F3}"/>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042806" y="31667451"/>
          <a:ext cx="432000" cy="422475"/>
        </a:xfrm>
        <a:prstGeom prst="rect">
          <a:avLst/>
        </a:prstGeom>
      </xdr:spPr>
    </xdr:pic>
    <xdr:clientData/>
  </xdr:twoCellAnchor>
  <xdr:twoCellAnchor>
    <xdr:from>
      <xdr:col>12</xdr:col>
      <xdr:colOff>447902</xdr:colOff>
      <xdr:row>120</xdr:row>
      <xdr:rowOff>17690</xdr:rowOff>
    </xdr:from>
    <xdr:to>
      <xdr:col>12</xdr:col>
      <xdr:colOff>879902</xdr:colOff>
      <xdr:row>120</xdr:row>
      <xdr:rowOff>439792</xdr:rowOff>
    </xdr:to>
    <xdr:pic>
      <xdr:nvPicPr>
        <xdr:cNvPr id="375" name="Picture 374">
          <a:extLst>
            <a:ext uri="{FF2B5EF4-FFF2-40B4-BE49-F238E27FC236}">
              <a16:creationId xmlns:a16="http://schemas.microsoft.com/office/drawing/2014/main" id="{50822B09-F9A8-4975-919F-65F3044D90D2}"/>
            </a:ext>
          </a:extLst>
        </xdr:cNvPr>
        <xdr:cNvPicPr>
          <a:picLocks noChangeAspect="1"/>
        </xdr:cNvPicPr>
      </xdr:nvPicPr>
      <xdr:blipFill>
        <a:blip xmlns:r="http://schemas.openxmlformats.org/officeDocument/2006/relationships" r:embed="rId15"/>
        <a:stretch>
          <a:fillRect/>
        </a:stretch>
      </xdr:blipFill>
      <xdr:spPr>
        <a:xfrm>
          <a:off x="5067527" y="33035422"/>
          <a:ext cx="432000" cy="422102"/>
        </a:xfrm>
        <a:prstGeom prst="rect">
          <a:avLst/>
        </a:prstGeom>
      </xdr:spPr>
    </xdr:pic>
    <xdr:clientData/>
  </xdr:twoCellAnchor>
  <xdr:twoCellAnchor>
    <xdr:from>
      <xdr:col>12</xdr:col>
      <xdr:colOff>447901</xdr:colOff>
      <xdr:row>121</xdr:row>
      <xdr:rowOff>20411</xdr:rowOff>
    </xdr:from>
    <xdr:to>
      <xdr:col>12</xdr:col>
      <xdr:colOff>879901</xdr:colOff>
      <xdr:row>121</xdr:row>
      <xdr:rowOff>452038</xdr:rowOff>
    </xdr:to>
    <xdr:pic>
      <xdr:nvPicPr>
        <xdr:cNvPr id="376" name="Picture 375">
          <a:extLst>
            <a:ext uri="{FF2B5EF4-FFF2-40B4-BE49-F238E27FC236}">
              <a16:creationId xmlns:a16="http://schemas.microsoft.com/office/drawing/2014/main" id="{00941F0E-5731-4D39-93C4-EE5AF84EFF46}"/>
            </a:ext>
          </a:extLst>
        </xdr:cNvPr>
        <xdr:cNvPicPr>
          <a:picLocks noChangeAspect="1"/>
        </xdr:cNvPicPr>
      </xdr:nvPicPr>
      <xdr:blipFill>
        <a:blip xmlns:r="http://schemas.openxmlformats.org/officeDocument/2006/relationships" r:embed="rId15"/>
        <a:stretch>
          <a:fillRect/>
        </a:stretch>
      </xdr:blipFill>
      <xdr:spPr>
        <a:xfrm>
          <a:off x="5067526" y="33493982"/>
          <a:ext cx="432000" cy="431627"/>
        </a:xfrm>
        <a:prstGeom prst="rect">
          <a:avLst/>
        </a:prstGeom>
      </xdr:spPr>
    </xdr:pic>
    <xdr:clientData/>
  </xdr:twoCellAnchor>
  <xdr:twoCellAnchor>
    <xdr:from>
      <xdr:col>12</xdr:col>
      <xdr:colOff>442075</xdr:colOff>
      <xdr:row>123</xdr:row>
      <xdr:rowOff>12109</xdr:rowOff>
    </xdr:from>
    <xdr:to>
      <xdr:col>12</xdr:col>
      <xdr:colOff>874075</xdr:colOff>
      <xdr:row>123</xdr:row>
      <xdr:rowOff>444806</xdr:rowOff>
    </xdr:to>
    <xdr:pic>
      <xdr:nvPicPr>
        <xdr:cNvPr id="377" name="Picture 376">
          <a:extLst>
            <a:ext uri="{FF2B5EF4-FFF2-40B4-BE49-F238E27FC236}">
              <a16:creationId xmlns:a16="http://schemas.microsoft.com/office/drawing/2014/main" id="{AE5099A0-2965-43E8-96AC-8A7A0690491E}"/>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61700" y="34397359"/>
          <a:ext cx="432000" cy="432697"/>
        </a:xfrm>
        <a:prstGeom prst="rect">
          <a:avLst/>
        </a:prstGeom>
        <a:noFill/>
      </xdr:spPr>
    </xdr:pic>
    <xdr:clientData/>
  </xdr:twoCellAnchor>
  <xdr:twoCellAnchor>
    <xdr:from>
      <xdr:col>12</xdr:col>
      <xdr:colOff>433003</xdr:colOff>
      <xdr:row>124</xdr:row>
      <xdr:rowOff>21270</xdr:rowOff>
    </xdr:from>
    <xdr:to>
      <xdr:col>12</xdr:col>
      <xdr:colOff>865003</xdr:colOff>
      <xdr:row>124</xdr:row>
      <xdr:rowOff>443745</xdr:rowOff>
    </xdr:to>
    <xdr:pic>
      <xdr:nvPicPr>
        <xdr:cNvPr id="378" name="Picture 377">
          <a:extLst>
            <a:ext uri="{FF2B5EF4-FFF2-40B4-BE49-F238E27FC236}">
              <a16:creationId xmlns:a16="http://schemas.microsoft.com/office/drawing/2014/main" id="{0EEDB399-E3BA-4405-8D12-DACA40B1FEB2}"/>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52628" y="34862359"/>
          <a:ext cx="432000" cy="422475"/>
        </a:xfrm>
        <a:prstGeom prst="rect">
          <a:avLst/>
        </a:prstGeom>
        <a:noFill/>
      </xdr:spPr>
    </xdr:pic>
    <xdr:clientData/>
  </xdr:twoCellAnchor>
  <xdr:twoCellAnchor>
    <xdr:from>
      <xdr:col>12</xdr:col>
      <xdr:colOff>445477</xdr:colOff>
      <xdr:row>122</xdr:row>
      <xdr:rowOff>22677</xdr:rowOff>
    </xdr:from>
    <xdr:to>
      <xdr:col>12</xdr:col>
      <xdr:colOff>877477</xdr:colOff>
      <xdr:row>122</xdr:row>
      <xdr:rowOff>445152</xdr:rowOff>
    </xdr:to>
    <xdr:pic>
      <xdr:nvPicPr>
        <xdr:cNvPr id="379" name="Picture 378">
          <a:extLst>
            <a:ext uri="{FF2B5EF4-FFF2-40B4-BE49-F238E27FC236}">
              <a16:creationId xmlns:a16="http://schemas.microsoft.com/office/drawing/2014/main" id="{31C2C6B4-0466-4EC1-93E8-E37BEEA3BD3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5102" y="33952088"/>
          <a:ext cx="432000" cy="422475"/>
        </a:xfrm>
        <a:prstGeom prst="rect">
          <a:avLst/>
        </a:prstGeom>
        <a:noFill/>
      </xdr:spPr>
    </xdr:pic>
    <xdr:clientData/>
  </xdr:twoCellAnchor>
  <xdr:twoCellAnchor>
    <xdr:from>
      <xdr:col>12</xdr:col>
      <xdr:colOff>442232</xdr:colOff>
      <xdr:row>125</xdr:row>
      <xdr:rowOff>15874</xdr:rowOff>
    </xdr:from>
    <xdr:to>
      <xdr:col>12</xdr:col>
      <xdr:colOff>874232</xdr:colOff>
      <xdr:row>125</xdr:row>
      <xdr:rowOff>447874</xdr:rowOff>
    </xdr:to>
    <xdr:pic>
      <xdr:nvPicPr>
        <xdr:cNvPr id="380" name="Picture 379">
          <a:extLst>
            <a:ext uri="{FF2B5EF4-FFF2-40B4-BE49-F238E27FC236}">
              <a16:creationId xmlns:a16="http://schemas.microsoft.com/office/drawing/2014/main" id="{980010C5-62D1-42CD-BCA1-0D24ED6B6AE7}"/>
            </a:ext>
          </a:extLst>
        </xdr:cNvPr>
        <xdr:cNvPicPr>
          <a:picLocks noChangeAspect="1"/>
        </xdr:cNvPicPr>
      </xdr:nvPicPr>
      <xdr:blipFill>
        <a:blip xmlns:r="http://schemas.openxmlformats.org/officeDocument/2006/relationships" r:embed="rId19"/>
        <a:stretch>
          <a:fillRect/>
        </a:stretch>
      </xdr:blipFill>
      <xdr:spPr>
        <a:xfrm>
          <a:off x="5061857" y="35312803"/>
          <a:ext cx="432000" cy="432000"/>
        </a:xfrm>
        <a:prstGeom prst="rect">
          <a:avLst/>
        </a:prstGeom>
      </xdr:spPr>
    </xdr:pic>
    <xdr:clientData/>
  </xdr:twoCellAnchor>
  <xdr:twoCellAnchor>
    <xdr:from>
      <xdr:col>12</xdr:col>
      <xdr:colOff>450013</xdr:colOff>
      <xdr:row>126</xdr:row>
      <xdr:rowOff>21543</xdr:rowOff>
    </xdr:from>
    <xdr:to>
      <xdr:col>12</xdr:col>
      <xdr:colOff>882013</xdr:colOff>
      <xdr:row>126</xdr:row>
      <xdr:rowOff>453543</xdr:rowOff>
    </xdr:to>
    <xdr:pic>
      <xdr:nvPicPr>
        <xdr:cNvPr id="381" name="Picture 380" descr="hair protection">
          <a:extLst>
            <a:ext uri="{FF2B5EF4-FFF2-40B4-BE49-F238E27FC236}">
              <a16:creationId xmlns:a16="http://schemas.microsoft.com/office/drawing/2014/main" id="{F9C6C4B6-B1C0-4807-A6AD-DFAE060B3A3B}"/>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9638" y="35774311"/>
          <a:ext cx="432000" cy="432000"/>
        </a:xfrm>
        <a:prstGeom prst="rect">
          <a:avLst/>
        </a:prstGeom>
        <a:noFill/>
        <a:ln>
          <a:noFill/>
        </a:ln>
      </xdr:spPr>
    </xdr:pic>
    <xdr:clientData/>
  </xdr:twoCellAnchor>
  <xdr:twoCellAnchor>
    <xdr:from>
      <xdr:col>12</xdr:col>
      <xdr:colOff>430735</xdr:colOff>
      <xdr:row>127</xdr:row>
      <xdr:rowOff>23811</xdr:rowOff>
    </xdr:from>
    <xdr:to>
      <xdr:col>12</xdr:col>
      <xdr:colOff>862735</xdr:colOff>
      <xdr:row>127</xdr:row>
      <xdr:rowOff>446286</xdr:rowOff>
    </xdr:to>
    <xdr:pic>
      <xdr:nvPicPr>
        <xdr:cNvPr id="382" name="Picture 381" descr="head protection">
          <a:extLst>
            <a:ext uri="{FF2B5EF4-FFF2-40B4-BE49-F238E27FC236}">
              <a16:creationId xmlns:a16="http://schemas.microsoft.com/office/drawing/2014/main" id="{E8E9CA04-FFCB-48F9-8F61-5770449AA889}"/>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50360" y="36232418"/>
          <a:ext cx="432000" cy="422475"/>
        </a:xfrm>
        <a:prstGeom prst="rect">
          <a:avLst/>
        </a:prstGeom>
        <a:noFill/>
        <a:ln>
          <a:noFill/>
        </a:ln>
      </xdr:spPr>
    </xdr:pic>
    <xdr:clientData/>
  </xdr:twoCellAnchor>
  <xdr:twoCellAnchor>
    <xdr:from>
      <xdr:col>12</xdr:col>
      <xdr:colOff>481990</xdr:colOff>
      <xdr:row>130</xdr:row>
      <xdr:rowOff>20408</xdr:rowOff>
    </xdr:from>
    <xdr:to>
      <xdr:col>12</xdr:col>
      <xdr:colOff>913990</xdr:colOff>
      <xdr:row>130</xdr:row>
      <xdr:rowOff>442883</xdr:rowOff>
    </xdr:to>
    <xdr:pic>
      <xdr:nvPicPr>
        <xdr:cNvPr id="383" name="Picture 382">
          <a:extLst>
            <a:ext uri="{FF2B5EF4-FFF2-40B4-BE49-F238E27FC236}">
              <a16:creationId xmlns:a16="http://schemas.microsoft.com/office/drawing/2014/main" id="{D7D90B84-7DAB-4F4E-BF95-2345B90B8930}"/>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101615" y="37596533"/>
          <a:ext cx="432000" cy="422475"/>
        </a:xfrm>
        <a:prstGeom prst="rect">
          <a:avLst/>
        </a:prstGeom>
        <a:noFill/>
        <a:ln>
          <a:noFill/>
        </a:ln>
      </xdr:spPr>
    </xdr:pic>
    <xdr:clientData/>
  </xdr:twoCellAnchor>
  <xdr:twoCellAnchor>
    <xdr:from>
      <xdr:col>12</xdr:col>
      <xdr:colOff>476094</xdr:colOff>
      <xdr:row>132</xdr:row>
      <xdr:rowOff>18142</xdr:rowOff>
    </xdr:from>
    <xdr:to>
      <xdr:col>12</xdr:col>
      <xdr:colOff>908094</xdr:colOff>
      <xdr:row>132</xdr:row>
      <xdr:rowOff>440617</xdr:rowOff>
    </xdr:to>
    <xdr:pic>
      <xdr:nvPicPr>
        <xdr:cNvPr id="384" name="Picture 383" descr="safety vests">
          <a:extLst>
            <a:ext uri="{FF2B5EF4-FFF2-40B4-BE49-F238E27FC236}">
              <a16:creationId xmlns:a16="http://schemas.microsoft.com/office/drawing/2014/main" id="{F0AFCEBE-59EA-409B-B6F0-4FD04EED4F6D}"/>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095719" y="38505946"/>
          <a:ext cx="432000" cy="422475"/>
        </a:xfrm>
        <a:prstGeom prst="rect">
          <a:avLst/>
        </a:prstGeom>
        <a:noFill/>
        <a:ln>
          <a:noFill/>
        </a:ln>
      </xdr:spPr>
    </xdr:pic>
    <xdr:clientData/>
  </xdr:twoCellAnchor>
  <xdr:twoCellAnchor>
    <xdr:from>
      <xdr:col>12</xdr:col>
      <xdr:colOff>479048</xdr:colOff>
      <xdr:row>128</xdr:row>
      <xdr:rowOff>18541</xdr:rowOff>
    </xdr:from>
    <xdr:to>
      <xdr:col>12</xdr:col>
      <xdr:colOff>911048</xdr:colOff>
      <xdr:row>128</xdr:row>
      <xdr:rowOff>441016</xdr:rowOff>
    </xdr:to>
    <xdr:pic>
      <xdr:nvPicPr>
        <xdr:cNvPr id="385" name="Picture 384">
          <a:extLst>
            <a:ext uri="{FF2B5EF4-FFF2-40B4-BE49-F238E27FC236}">
              <a16:creationId xmlns:a16="http://schemas.microsoft.com/office/drawing/2014/main" id="{60AB19DA-1B06-48A7-8CCB-DC88D6EDBE4A}"/>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98673" y="36682987"/>
          <a:ext cx="432000" cy="422475"/>
        </a:xfrm>
        <a:prstGeom prst="rect">
          <a:avLst/>
        </a:prstGeom>
        <a:noFill/>
      </xdr:spPr>
    </xdr:pic>
    <xdr:clientData/>
  </xdr:twoCellAnchor>
  <xdr:twoCellAnchor>
    <xdr:from>
      <xdr:col>12</xdr:col>
      <xdr:colOff>472691</xdr:colOff>
      <xdr:row>129</xdr:row>
      <xdr:rowOff>20410</xdr:rowOff>
    </xdr:from>
    <xdr:to>
      <xdr:col>12</xdr:col>
      <xdr:colOff>905440</xdr:colOff>
      <xdr:row>129</xdr:row>
      <xdr:rowOff>452410</xdr:rowOff>
    </xdr:to>
    <xdr:pic>
      <xdr:nvPicPr>
        <xdr:cNvPr id="386" name="Picture 385">
          <a:extLst>
            <a:ext uri="{FF2B5EF4-FFF2-40B4-BE49-F238E27FC236}">
              <a16:creationId xmlns:a16="http://schemas.microsoft.com/office/drawing/2014/main" id="{616EFF44-8EAC-46BE-AA06-C56CDADDC18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092316" y="37140696"/>
          <a:ext cx="432749" cy="432000"/>
        </a:xfrm>
        <a:prstGeom prst="rect">
          <a:avLst/>
        </a:prstGeom>
      </xdr:spPr>
    </xdr:pic>
    <xdr:clientData/>
  </xdr:twoCellAnchor>
  <xdr:twoCellAnchor>
    <xdr:from>
      <xdr:col>12</xdr:col>
      <xdr:colOff>476250</xdr:colOff>
      <xdr:row>131</xdr:row>
      <xdr:rowOff>17010</xdr:rowOff>
    </xdr:from>
    <xdr:to>
      <xdr:col>12</xdr:col>
      <xdr:colOff>908250</xdr:colOff>
      <xdr:row>131</xdr:row>
      <xdr:rowOff>449010</xdr:rowOff>
    </xdr:to>
    <xdr:pic>
      <xdr:nvPicPr>
        <xdr:cNvPr id="387" name="Picture 386">
          <a:extLst>
            <a:ext uri="{FF2B5EF4-FFF2-40B4-BE49-F238E27FC236}">
              <a16:creationId xmlns:a16="http://schemas.microsoft.com/office/drawing/2014/main" id="{4DA18091-4CD3-4F29-834D-AE6F48F9FDAB}"/>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095875" y="38048974"/>
          <a:ext cx="432000" cy="432000"/>
        </a:xfrm>
        <a:prstGeom prst="rect">
          <a:avLst/>
        </a:prstGeom>
      </xdr:spPr>
    </xdr:pic>
    <xdr:clientData/>
  </xdr:twoCellAnchor>
  <xdr:twoCellAnchor>
    <xdr:from>
      <xdr:col>12</xdr:col>
      <xdr:colOff>436563</xdr:colOff>
      <xdr:row>133</xdr:row>
      <xdr:rowOff>17008</xdr:rowOff>
    </xdr:from>
    <xdr:to>
      <xdr:col>12</xdr:col>
      <xdr:colOff>868563</xdr:colOff>
      <xdr:row>133</xdr:row>
      <xdr:rowOff>449008</xdr:rowOff>
    </xdr:to>
    <xdr:pic>
      <xdr:nvPicPr>
        <xdr:cNvPr id="388" name="Picture 387">
          <a:extLst>
            <a:ext uri="{FF2B5EF4-FFF2-40B4-BE49-F238E27FC236}">
              <a16:creationId xmlns:a16="http://schemas.microsoft.com/office/drawing/2014/main" id="{2C0970FD-DFD5-499E-9B7E-52267AA581BE}"/>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056188" y="38960651"/>
          <a:ext cx="432000" cy="432000"/>
        </a:xfrm>
        <a:prstGeom prst="rect">
          <a:avLst/>
        </a:prstGeom>
      </xdr:spPr>
    </xdr:pic>
    <xdr:clientData/>
  </xdr:twoCellAnchor>
  <xdr:twoCellAnchor>
    <xdr:from>
      <xdr:col>12</xdr:col>
      <xdr:colOff>443370</xdr:colOff>
      <xdr:row>134</xdr:row>
      <xdr:rowOff>17007</xdr:rowOff>
    </xdr:from>
    <xdr:to>
      <xdr:col>12</xdr:col>
      <xdr:colOff>875370</xdr:colOff>
      <xdr:row>134</xdr:row>
      <xdr:rowOff>449007</xdr:rowOff>
    </xdr:to>
    <xdr:pic>
      <xdr:nvPicPr>
        <xdr:cNvPr id="389" name="Picture 388">
          <a:extLst>
            <a:ext uri="{FF2B5EF4-FFF2-40B4-BE49-F238E27FC236}">
              <a16:creationId xmlns:a16="http://schemas.microsoft.com/office/drawing/2014/main" id="{0324C2D9-6DBD-4F1E-BFF2-C5422D79257A}"/>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062995" y="39416489"/>
          <a:ext cx="432000" cy="432000"/>
        </a:xfrm>
        <a:prstGeom prst="rect">
          <a:avLst/>
        </a:prstGeom>
        <a:noFill/>
      </xdr:spPr>
    </xdr:pic>
    <xdr:clientData/>
  </xdr:twoCellAnchor>
  <xdr:twoCellAnchor>
    <xdr:from>
      <xdr:col>12</xdr:col>
      <xdr:colOff>457020</xdr:colOff>
      <xdr:row>135</xdr:row>
      <xdr:rowOff>30345</xdr:rowOff>
    </xdr:from>
    <xdr:to>
      <xdr:col>12</xdr:col>
      <xdr:colOff>889020</xdr:colOff>
      <xdr:row>135</xdr:row>
      <xdr:rowOff>452820</xdr:rowOff>
    </xdr:to>
    <xdr:pic>
      <xdr:nvPicPr>
        <xdr:cNvPr id="390" name="Picture 389">
          <a:extLst>
            <a:ext uri="{FF2B5EF4-FFF2-40B4-BE49-F238E27FC236}">
              <a16:creationId xmlns:a16="http://schemas.microsoft.com/office/drawing/2014/main" id="{57BC1C11-7685-4260-B157-A35E7B11C64C}"/>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076645" y="39885666"/>
          <a:ext cx="432000" cy="422475"/>
        </a:xfrm>
        <a:prstGeom prst="rect">
          <a:avLst/>
        </a:prstGeom>
        <a:ln>
          <a:solidFill>
            <a:schemeClr val="tx1"/>
          </a:solidFill>
        </a:ln>
      </xdr:spPr>
    </xdr:pic>
    <xdr:clientData/>
  </xdr:twoCellAnchor>
  <xdr:twoCellAnchor>
    <xdr:from>
      <xdr:col>9</xdr:col>
      <xdr:colOff>425449</xdr:colOff>
      <xdr:row>116</xdr:row>
      <xdr:rowOff>17235</xdr:rowOff>
    </xdr:from>
    <xdr:to>
      <xdr:col>9</xdr:col>
      <xdr:colOff>859521</xdr:colOff>
      <xdr:row>116</xdr:row>
      <xdr:rowOff>439710</xdr:rowOff>
    </xdr:to>
    <xdr:pic>
      <xdr:nvPicPr>
        <xdr:cNvPr id="391" name="Picture 390">
          <a:extLst>
            <a:ext uri="{FF2B5EF4-FFF2-40B4-BE49-F238E27FC236}">
              <a16:creationId xmlns:a16="http://schemas.microsoft.com/office/drawing/2014/main" id="{39172EFA-404A-4F92-9205-C0F170F96AE6}"/>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117</xdr:row>
      <xdr:rowOff>17235</xdr:rowOff>
    </xdr:from>
    <xdr:to>
      <xdr:col>9</xdr:col>
      <xdr:colOff>859521</xdr:colOff>
      <xdr:row>117</xdr:row>
      <xdr:rowOff>439710</xdr:rowOff>
    </xdr:to>
    <xdr:pic>
      <xdr:nvPicPr>
        <xdr:cNvPr id="392" name="Picture 391">
          <a:extLst>
            <a:ext uri="{FF2B5EF4-FFF2-40B4-BE49-F238E27FC236}">
              <a16:creationId xmlns:a16="http://schemas.microsoft.com/office/drawing/2014/main" id="{50F3BF7D-BF2B-4E5A-A254-9E7488490C39}"/>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118</xdr:row>
      <xdr:rowOff>17235</xdr:rowOff>
    </xdr:from>
    <xdr:to>
      <xdr:col>9</xdr:col>
      <xdr:colOff>859521</xdr:colOff>
      <xdr:row>118</xdr:row>
      <xdr:rowOff>439710</xdr:rowOff>
    </xdr:to>
    <xdr:pic>
      <xdr:nvPicPr>
        <xdr:cNvPr id="393" name="Picture 392">
          <a:extLst>
            <a:ext uri="{FF2B5EF4-FFF2-40B4-BE49-F238E27FC236}">
              <a16:creationId xmlns:a16="http://schemas.microsoft.com/office/drawing/2014/main" id="{F30A87B0-835B-4D08-B9C5-E32891D7E3AA}"/>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119</xdr:row>
      <xdr:rowOff>17235</xdr:rowOff>
    </xdr:from>
    <xdr:to>
      <xdr:col>9</xdr:col>
      <xdr:colOff>859521</xdr:colOff>
      <xdr:row>119</xdr:row>
      <xdr:rowOff>439710</xdr:rowOff>
    </xdr:to>
    <xdr:pic>
      <xdr:nvPicPr>
        <xdr:cNvPr id="394" name="Picture 393">
          <a:extLst>
            <a:ext uri="{FF2B5EF4-FFF2-40B4-BE49-F238E27FC236}">
              <a16:creationId xmlns:a16="http://schemas.microsoft.com/office/drawing/2014/main" id="{F1DD8D8A-226D-4F31-9EC9-FBB361DB16C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120</xdr:row>
      <xdr:rowOff>17235</xdr:rowOff>
    </xdr:from>
    <xdr:to>
      <xdr:col>9</xdr:col>
      <xdr:colOff>859521</xdr:colOff>
      <xdr:row>120</xdr:row>
      <xdr:rowOff>439710</xdr:rowOff>
    </xdr:to>
    <xdr:pic>
      <xdr:nvPicPr>
        <xdr:cNvPr id="395" name="Picture 394">
          <a:extLst>
            <a:ext uri="{FF2B5EF4-FFF2-40B4-BE49-F238E27FC236}">
              <a16:creationId xmlns:a16="http://schemas.microsoft.com/office/drawing/2014/main" id="{CDA1A457-85E8-41A1-B657-3FB5D813926F}"/>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121</xdr:row>
      <xdr:rowOff>17235</xdr:rowOff>
    </xdr:from>
    <xdr:to>
      <xdr:col>9</xdr:col>
      <xdr:colOff>859521</xdr:colOff>
      <xdr:row>121</xdr:row>
      <xdr:rowOff>439710</xdr:rowOff>
    </xdr:to>
    <xdr:pic>
      <xdr:nvPicPr>
        <xdr:cNvPr id="396" name="Picture 395">
          <a:extLst>
            <a:ext uri="{FF2B5EF4-FFF2-40B4-BE49-F238E27FC236}">
              <a16:creationId xmlns:a16="http://schemas.microsoft.com/office/drawing/2014/main" id="{AC848364-2C07-4A65-91FC-B90F4367B69E}"/>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122</xdr:row>
      <xdr:rowOff>17235</xdr:rowOff>
    </xdr:from>
    <xdr:to>
      <xdr:col>9</xdr:col>
      <xdr:colOff>859521</xdr:colOff>
      <xdr:row>122</xdr:row>
      <xdr:rowOff>439710</xdr:rowOff>
    </xdr:to>
    <xdr:pic>
      <xdr:nvPicPr>
        <xdr:cNvPr id="397" name="Picture 396">
          <a:extLst>
            <a:ext uri="{FF2B5EF4-FFF2-40B4-BE49-F238E27FC236}">
              <a16:creationId xmlns:a16="http://schemas.microsoft.com/office/drawing/2014/main" id="{D4C06951-D3CD-4D88-968A-46C093ADBA5F}"/>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123</xdr:row>
      <xdr:rowOff>17235</xdr:rowOff>
    </xdr:from>
    <xdr:to>
      <xdr:col>9</xdr:col>
      <xdr:colOff>859521</xdr:colOff>
      <xdr:row>123</xdr:row>
      <xdr:rowOff>439710</xdr:rowOff>
    </xdr:to>
    <xdr:pic>
      <xdr:nvPicPr>
        <xdr:cNvPr id="398" name="Picture 397">
          <a:extLst>
            <a:ext uri="{FF2B5EF4-FFF2-40B4-BE49-F238E27FC236}">
              <a16:creationId xmlns:a16="http://schemas.microsoft.com/office/drawing/2014/main" id="{13521A92-A063-4481-87F0-794F2B591EE4}"/>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124</xdr:row>
      <xdr:rowOff>17235</xdr:rowOff>
    </xdr:from>
    <xdr:to>
      <xdr:col>9</xdr:col>
      <xdr:colOff>859521</xdr:colOff>
      <xdr:row>124</xdr:row>
      <xdr:rowOff>439710</xdr:rowOff>
    </xdr:to>
    <xdr:pic>
      <xdr:nvPicPr>
        <xdr:cNvPr id="399" name="Picture 398">
          <a:extLst>
            <a:ext uri="{FF2B5EF4-FFF2-40B4-BE49-F238E27FC236}">
              <a16:creationId xmlns:a16="http://schemas.microsoft.com/office/drawing/2014/main" id="{C3B7F63B-F929-4F7D-B9BC-2A556D597ECB}"/>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125</xdr:row>
      <xdr:rowOff>17235</xdr:rowOff>
    </xdr:from>
    <xdr:to>
      <xdr:col>9</xdr:col>
      <xdr:colOff>859521</xdr:colOff>
      <xdr:row>125</xdr:row>
      <xdr:rowOff>439710</xdr:rowOff>
    </xdr:to>
    <xdr:pic>
      <xdr:nvPicPr>
        <xdr:cNvPr id="400" name="Picture 399">
          <a:extLst>
            <a:ext uri="{FF2B5EF4-FFF2-40B4-BE49-F238E27FC236}">
              <a16:creationId xmlns:a16="http://schemas.microsoft.com/office/drawing/2014/main" id="{86487F8E-EB7E-49E0-8CDF-F8D47DA21338}"/>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126</xdr:row>
      <xdr:rowOff>17235</xdr:rowOff>
    </xdr:from>
    <xdr:to>
      <xdr:col>9</xdr:col>
      <xdr:colOff>859521</xdr:colOff>
      <xdr:row>126</xdr:row>
      <xdr:rowOff>439710</xdr:rowOff>
    </xdr:to>
    <xdr:pic>
      <xdr:nvPicPr>
        <xdr:cNvPr id="401" name="Picture 400">
          <a:extLst>
            <a:ext uri="{FF2B5EF4-FFF2-40B4-BE49-F238E27FC236}">
              <a16:creationId xmlns:a16="http://schemas.microsoft.com/office/drawing/2014/main" id="{CCA8336C-89B4-4592-B985-CFFA18A318DA}"/>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127</xdr:row>
      <xdr:rowOff>17235</xdr:rowOff>
    </xdr:from>
    <xdr:to>
      <xdr:col>9</xdr:col>
      <xdr:colOff>859521</xdr:colOff>
      <xdr:row>127</xdr:row>
      <xdr:rowOff>439710</xdr:rowOff>
    </xdr:to>
    <xdr:pic>
      <xdr:nvPicPr>
        <xdr:cNvPr id="402" name="Picture 401">
          <a:extLst>
            <a:ext uri="{FF2B5EF4-FFF2-40B4-BE49-F238E27FC236}">
              <a16:creationId xmlns:a16="http://schemas.microsoft.com/office/drawing/2014/main" id="{CBEBCD5A-7808-4424-A110-B343F342FA68}"/>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128</xdr:row>
      <xdr:rowOff>17235</xdr:rowOff>
    </xdr:from>
    <xdr:to>
      <xdr:col>9</xdr:col>
      <xdr:colOff>859521</xdr:colOff>
      <xdr:row>128</xdr:row>
      <xdr:rowOff>439710</xdr:rowOff>
    </xdr:to>
    <xdr:pic>
      <xdr:nvPicPr>
        <xdr:cNvPr id="403" name="Picture 402">
          <a:extLst>
            <a:ext uri="{FF2B5EF4-FFF2-40B4-BE49-F238E27FC236}">
              <a16:creationId xmlns:a16="http://schemas.microsoft.com/office/drawing/2014/main" id="{CCBF312F-CE2E-486B-AA0C-177C9067912E}"/>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129</xdr:row>
      <xdr:rowOff>17235</xdr:rowOff>
    </xdr:from>
    <xdr:to>
      <xdr:col>9</xdr:col>
      <xdr:colOff>859521</xdr:colOff>
      <xdr:row>129</xdr:row>
      <xdr:rowOff>439710</xdr:rowOff>
    </xdr:to>
    <xdr:pic>
      <xdr:nvPicPr>
        <xdr:cNvPr id="404" name="Picture 403">
          <a:extLst>
            <a:ext uri="{FF2B5EF4-FFF2-40B4-BE49-F238E27FC236}">
              <a16:creationId xmlns:a16="http://schemas.microsoft.com/office/drawing/2014/main" id="{85C62B4F-4120-4EE3-BBC8-DC78FA877747}"/>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130</xdr:row>
      <xdr:rowOff>17235</xdr:rowOff>
    </xdr:from>
    <xdr:to>
      <xdr:col>9</xdr:col>
      <xdr:colOff>859521</xdr:colOff>
      <xdr:row>130</xdr:row>
      <xdr:rowOff>439710</xdr:rowOff>
    </xdr:to>
    <xdr:pic>
      <xdr:nvPicPr>
        <xdr:cNvPr id="405" name="Picture 404">
          <a:extLst>
            <a:ext uri="{FF2B5EF4-FFF2-40B4-BE49-F238E27FC236}">
              <a16:creationId xmlns:a16="http://schemas.microsoft.com/office/drawing/2014/main" id="{D7DE4003-5FBB-4354-B1D7-5276EF2B1BFF}"/>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131</xdr:row>
      <xdr:rowOff>17235</xdr:rowOff>
    </xdr:from>
    <xdr:to>
      <xdr:col>9</xdr:col>
      <xdr:colOff>859521</xdr:colOff>
      <xdr:row>131</xdr:row>
      <xdr:rowOff>439710</xdr:rowOff>
    </xdr:to>
    <xdr:pic>
      <xdr:nvPicPr>
        <xdr:cNvPr id="406" name="Picture 405">
          <a:extLst>
            <a:ext uri="{FF2B5EF4-FFF2-40B4-BE49-F238E27FC236}">
              <a16:creationId xmlns:a16="http://schemas.microsoft.com/office/drawing/2014/main" id="{D3E6DD1F-7F68-4916-88DB-D69D2C472207}"/>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132</xdr:row>
      <xdr:rowOff>17235</xdr:rowOff>
    </xdr:from>
    <xdr:to>
      <xdr:col>9</xdr:col>
      <xdr:colOff>859521</xdr:colOff>
      <xdr:row>132</xdr:row>
      <xdr:rowOff>439710</xdr:rowOff>
    </xdr:to>
    <xdr:pic>
      <xdr:nvPicPr>
        <xdr:cNvPr id="407" name="Picture 406">
          <a:extLst>
            <a:ext uri="{FF2B5EF4-FFF2-40B4-BE49-F238E27FC236}">
              <a16:creationId xmlns:a16="http://schemas.microsoft.com/office/drawing/2014/main" id="{AFC5991D-D99D-4CE5-9AC3-B06CB7BE103C}"/>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133</xdr:row>
      <xdr:rowOff>17235</xdr:rowOff>
    </xdr:from>
    <xdr:to>
      <xdr:col>9</xdr:col>
      <xdr:colOff>859521</xdr:colOff>
      <xdr:row>133</xdr:row>
      <xdr:rowOff>439710</xdr:rowOff>
    </xdr:to>
    <xdr:pic>
      <xdr:nvPicPr>
        <xdr:cNvPr id="408" name="Picture 407">
          <a:extLst>
            <a:ext uri="{FF2B5EF4-FFF2-40B4-BE49-F238E27FC236}">
              <a16:creationId xmlns:a16="http://schemas.microsoft.com/office/drawing/2014/main" id="{D278088E-708E-44F8-BAC0-31E723861D99}"/>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134</xdr:row>
      <xdr:rowOff>17235</xdr:rowOff>
    </xdr:from>
    <xdr:to>
      <xdr:col>9</xdr:col>
      <xdr:colOff>859521</xdr:colOff>
      <xdr:row>134</xdr:row>
      <xdr:rowOff>439710</xdr:rowOff>
    </xdr:to>
    <xdr:pic>
      <xdr:nvPicPr>
        <xdr:cNvPr id="409" name="Picture 408">
          <a:extLst>
            <a:ext uri="{FF2B5EF4-FFF2-40B4-BE49-F238E27FC236}">
              <a16:creationId xmlns:a16="http://schemas.microsoft.com/office/drawing/2014/main" id="{10C4652E-A9FF-4832-91B6-4AF39190D20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9</xdr:col>
      <xdr:colOff>425449</xdr:colOff>
      <xdr:row>135</xdr:row>
      <xdr:rowOff>17235</xdr:rowOff>
    </xdr:from>
    <xdr:to>
      <xdr:col>9</xdr:col>
      <xdr:colOff>859521</xdr:colOff>
      <xdr:row>135</xdr:row>
      <xdr:rowOff>439710</xdr:rowOff>
    </xdr:to>
    <xdr:pic>
      <xdr:nvPicPr>
        <xdr:cNvPr id="410" name="Picture 409">
          <a:extLst>
            <a:ext uri="{FF2B5EF4-FFF2-40B4-BE49-F238E27FC236}">
              <a16:creationId xmlns:a16="http://schemas.microsoft.com/office/drawing/2014/main" id="{9E1CC8CB-9B72-4E99-B9B6-6BBEF1C301FE}"/>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2003878" y="40328396"/>
          <a:ext cx="434072" cy="422475"/>
        </a:xfrm>
        <a:prstGeom prst="rect">
          <a:avLst/>
        </a:prstGeom>
      </xdr:spPr>
    </xdr:pic>
    <xdr:clientData/>
  </xdr:twoCellAnchor>
  <xdr:twoCellAnchor>
    <xdr:from>
      <xdr:col>12</xdr:col>
      <xdr:colOff>442982</xdr:colOff>
      <xdr:row>139</xdr:row>
      <xdr:rowOff>16328</xdr:rowOff>
    </xdr:from>
    <xdr:to>
      <xdr:col>12</xdr:col>
      <xdr:colOff>874367</xdr:colOff>
      <xdr:row>139</xdr:row>
      <xdr:rowOff>448328</xdr:rowOff>
    </xdr:to>
    <xdr:pic>
      <xdr:nvPicPr>
        <xdr:cNvPr id="411" name="Picture 410">
          <a:extLst>
            <a:ext uri="{FF2B5EF4-FFF2-40B4-BE49-F238E27FC236}">
              <a16:creationId xmlns:a16="http://schemas.microsoft.com/office/drawing/2014/main" id="{60D83C09-D364-4D9A-A7B7-D3DD67F3027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62607" y="42150846"/>
          <a:ext cx="431385" cy="432000"/>
        </a:xfrm>
        <a:prstGeom prst="rect">
          <a:avLst/>
        </a:prstGeom>
      </xdr:spPr>
    </xdr:pic>
    <xdr:clientData/>
  </xdr:twoCellAnchor>
  <xdr:twoCellAnchor>
    <xdr:from>
      <xdr:col>12</xdr:col>
      <xdr:colOff>399596</xdr:colOff>
      <xdr:row>136</xdr:row>
      <xdr:rowOff>21636</xdr:rowOff>
    </xdr:from>
    <xdr:to>
      <xdr:col>12</xdr:col>
      <xdr:colOff>831596</xdr:colOff>
      <xdr:row>136</xdr:row>
      <xdr:rowOff>444111</xdr:rowOff>
    </xdr:to>
    <xdr:pic>
      <xdr:nvPicPr>
        <xdr:cNvPr id="412" name="Picture 411">
          <a:extLst>
            <a:ext uri="{FF2B5EF4-FFF2-40B4-BE49-F238E27FC236}">
              <a16:creationId xmlns:a16="http://schemas.microsoft.com/office/drawing/2014/main" id="{D543954C-0FD5-4F77-967B-90109CAEA9E0}"/>
            </a:ext>
          </a:extLst>
        </xdr:cNvPr>
        <xdr:cNvPicPr>
          <a:picLocks noChangeAspect="1"/>
        </xdr:cNvPicPr>
      </xdr:nvPicPr>
      <xdr:blipFill>
        <a:blip xmlns:r="http://schemas.openxmlformats.org/officeDocument/2006/relationships" r:embed="rId12"/>
        <a:stretch>
          <a:fillRect/>
        </a:stretch>
      </xdr:blipFill>
      <xdr:spPr>
        <a:xfrm>
          <a:off x="5019221" y="40788636"/>
          <a:ext cx="432000" cy="422475"/>
        </a:xfrm>
        <a:prstGeom prst="rect">
          <a:avLst/>
        </a:prstGeom>
      </xdr:spPr>
    </xdr:pic>
    <xdr:clientData/>
  </xdr:twoCellAnchor>
  <xdr:twoCellAnchor>
    <xdr:from>
      <xdr:col>12</xdr:col>
      <xdr:colOff>432255</xdr:colOff>
      <xdr:row>138</xdr:row>
      <xdr:rowOff>17235</xdr:rowOff>
    </xdr:from>
    <xdr:to>
      <xdr:col>12</xdr:col>
      <xdr:colOff>864372</xdr:colOff>
      <xdr:row>138</xdr:row>
      <xdr:rowOff>449235</xdr:rowOff>
    </xdr:to>
    <xdr:pic>
      <xdr:nvPicPr>
        <xdr:cNvPr id="413" name="Picture 412">
          <a:extLst>
            <a:ext uri="{FF2B5EF4-FFF2-40B4-BE49-F238E27FC236}">
              <a16:creationId xmlns:a16="http://schemas.microsoft.com/office/drawing/2014/main" id="{DBA3B6D0-CF55-4F44-A2D2-964E501DE76F}"/>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051880" y="41695914"/>
          <a:ext cx="432117" cy="432000"/>
        </a:xfrm>
        <a:prstGeom prst="rect">
          <a:avLst/>
        </a:prstGeom>
      </xdr:spPr>
    </xdr:pic>
    <xdr:clientData/>
  </xdr:twoCellAnchor>
  <xdr:twoCellAnchor>
    <xdr:from>
      <xdr:col>12</xdr:col>
      <xdr:colOff>423181</xdr:colOff>
      <xdr:row>137</xdr:row>
      <xdr:rowOff>17237</xdr:rowOff>
    </xdr:from>
    <xdr:to>
      <xdr:col>12</xdr:col>
      <xdr:colOff>855181</xdr:colOff>
      <xdr:row>137</xdr:row>
      <xdr:rowOff>439712</xdr:rowOff>
    </xdr:to>
    <xdr:pic>
      <xdr:nvPicPr>
        <xdr:cNvPr id="414" name="Picture 413">
          <a:extLst>
            <a:ext uri="{FF2B5EF4-FFF2-40B4-BE49-F238E27FC236}">
              <a16:creationId xmlns:a16="http://schemas.microsoft.com/office/drawing/2014/main" id="{F298F067-2000-4F3B-9093-5BEB857E2E8D}"/>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042806" y="41240076"/>
          <a:ext cx="432000" cy="422475"/>
        </a:xfrm>
        <a:prstGeom prst="rect">
          <a:avLst/>
        </a:prstGeom>
      </xdr:spPr>
    </xdr:pic>
    <xdr:clientData/>
  </xdr:twoCellAnchor>
  <xdr:twoCellAnchor>
    <xdr:from>
      <xdr:col>12</xdr:col>
      <xdr:colOff>447902</xdr:colOff>
      <xdr:row>140</xdr:row>
      <xdr:rowOff>17690</xdr:rowOff>
    </xdr:from>
    <xdr:to>
      <xdr:col>12</xdr:col>
      <xdr:colOff>879902</xdr:colOff>
      <xdr:row>140</xdr:row>
      <xdr:rowOff>439792</xdr:rowOff>
    </xdr:to>
    <xdr:pic>
      <xdr:nvPicPr>
        <xdr:cNvPr id="415" name="Picture 414">
          <a:extLst>
            <a:ext uri="{FF2B5EF4-FFF2-40B4-BE49-F238E27FC236}">
              <a16:creationId xmlns:a16="http://schemas.microsoft.com/office/drawing/2014/main" id="{A4C83A9B-6911-487C-A380-A26C875ABFD6}"/>
            </a:ext>
          </a:extLst>
        </xdr:cNvPr>
        <xdr:cNvPicPr>
          <a:picLocks noChangeAspect="1"/>
        </xdr:cNvPicPr>
      </xdr:nvPicPr>
      <xdr:blipFill>
        <a:blip xmlns:r="http://schemas.openxmlformats.org/officeDocument/2006/relationships" r:embed="rId15"/>
        <a:stretch>
          <a:fillRect/>
        </a:stretch>
      </xdr:blipFill>
      <xdr:spPr>
        <a:xfrm>
          <a:off x="5067527" y="42608047"/>
          <a:ext cx="432000" cy="422102"/>
        </a:xfrm>
        <a:prstGeom prst="rect">
          <a:avLst/>
        </a:prstGeom>
      </xdr:spPr>
    </xdr:pic>
    <xdr:clientData/>
  </xdr:twoCellAnchor>
  <xdr:twoCellAnchor>
    <xdr:from>
      <xdr:col>12</xdr:col>
      <xdr:colOff>447901</xdr:colOff>
      <xdr:row>141</xdr:row>
      <xdr:rowOff>20411</xdr:rowOff>
    </xdr:from>
    <xdr:to>
      <xdr:col>12</xdr:col>
      <xdr:colOff>879901</xdr:colOff>
      <xdr:row>141</xdr:row>
      <xdr:rowOff>452038</xdr:rowOff>
    </xdr:to>
    <xdr:pic>
      <xdr:nvPicPr>
        <xdr:cNvPr id="416" name="Picture 415">
          <a:extLst>
            <a:ext uri="{FF2B5EF4-FFF2-40B4-BE49-F238E27FC236}">
              <a16:creationId xmlns:a16="http://schemas.microsoft.com/office/drawing/2014/main" id="{2CA46DE2-CB27-4DAE-AE3C-08AF439CC522}"/>
            </a:ext>
          </a:extLst>
        </xdr:cNvPr>
        <xdr:cNvPicPr>
          <a:picLocks noChangeAspect="1"/>
        </xdr:cNvPicPr>
      </xdr:nvPicPr>
      <xdr:blipFill>
        <a:blip xmlns:r="http://schemas.openxmlformats.org/officeDocument/2006/relationships" r:embed="rId15"/>
        <a:stretch>
          <a:fillRect/>
        </a:stretch>
      </xdr:blipFill>
      <xdr:spPr>
        <a:xfrm>
          <a:off x="5067526" y="43066607"/>
          <a:ext cx="432000" cy="431627"/>
        </a:xfrm>
        <a:prstGeom prst="rect">
          <a:avLst/>
        </a:prstGeom>
      </xdr:spPr>
    </xdr:pic>
    <xdr:clientData/>
  </xdr:twoCellAnchor>
  <xdr:twoCellAnchor>
    <xdr:from>
      <xdr:col>12</xdr:col>
      <xdr:colOff>442075</xdr:colOff>
      <xdr:row>143</xdr:row>
      <xdr:rowOff>12109</xdr:rowOff>
    </xdr:from>
    <xdr:to>
      <xdr:col>12</xdr:col>
      <xdr:colOff>874075</xdr:colOff>
      <xdr:row>143</xdr:row>
      <xdr:rowOff>444806</xdr:rowOff>
    </xdr:to>
    <xdr:pic>
      <xdr:nvPicPr>
        <xdr:cNvPr id="417" name="Picture 416">
          <a:extLst>
            <a:ext uri="{FF2B5EF4-FFF2-40B4-BE49-F238E27FC236}">
              <a16:creationId xmlns:a16="http://schemas.microsoft.com/office/drawing/2014/main" id="{28619DF3-A0C7-4F16-9A64-E01B70C2B4C6}"/>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61700" y="43969984"/>
          <a:ext cx="432000" cy="432697"/>
        </a:xfrm>
        <a:prstGeom prst="rect">
          <a:avLst/>
        </a:prstGeom>
        <a:noFill/>
      </xdr:spPr>
    </xdr:pic>
    <xdr:clientData/>
  </xdr:twoCellAnchor>
  <xdr:twoCellAnchor>
    <xdr:from>
      <xdr:col>12</xdr:col>
      <xdr:colOff>433003</xdr:colOff>
      <xdr:row>144</xdr:row>
      <xdr:rowOff>21270</xdr:rowOff>
    </xdr:from>
    <xdr:to>
      <xdr:col>12</xdr:col>
      <xdr:colOff>865003</xdr:colOff>
      <xdr:row>144</xdr:row>
      <xdr:rowOff>443745</xdr:rowOff>
    </xdr:to>
    <xdr:pic>
      <xdr:nvPicPr>
        <xdr:cNvPr id="418" name="Picture 417">
          <a:extLst>
            <a:ext uri="{FF2B5EF4-FFF2-40B4-BE49-F238E27FC236}">
              <a16:creationId xmlns:a16="http://schemas.microsoft.com/office/drawing/2014/main" id="{5D783859-A2E1-4A82-A75B-E661A3ADF27E}"/>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52628" y="44434984"/>
          <a:ext cx="432000" cy="422475"/>
        </a:xfrm>
        <a:prstGeom prst="rect">
          <a:avLst/>
        </a:prstGeom>
        <a:noFill/>
      </xdr:spPr>
    </xdr:pic>
    <xdr:clientData/>
  </xdr:twoCellAnchor>
  <xdr:twoCellAnchor>
    <xdr:from>
      <xdr:col>12</xdr:col>
      <xdr:colOff>445477</xdr:colOff>
      <xdr:row>142</xdr:row>
      <xdr:rowOff>22677</xdr:rowOff>
    </xdr:from>
    <xdr:to>
      <xdr:col>12</xdr:col>
      <xdr:colOff>877477</xdr:colOff>
      <xdr:row>142</xdr:row>
      <xdr:rowOff>445152</xdr:rowOff>
    </xdr:to>
    <xdr:pic>
      <xdr:nvPicPr>
        <xdr:cNvPr id="419" name="Picture 418">
          <a:extLst>
            <a:ext uri="{FF2B5EF4-FFF2-40B4-BE49-F238E27FC236}">
              <a16:creationId xmlns:a16="http://schemas.microsoft.com/office/drawing/2014/main" id="{C73A4731-253C-4C8D-9B28-C902CD97B593}"/>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5102" y="43524713"/>
          <a:ext cx="432000" cy="422475"/>
        </a:xfrm>
        <a:prstGeom prst="rect">
          <a:avLst/>
        </a:prstGeom>
        <a:noFill/>
      </xdr:spPr>
    </xdr:pic>
    <xdr:clientData/>
  </xdr:twoCellAnchor>
  <xdr:twoCellAnchor>
    <xdr:from>
      <xdr:col>12</xdr:col>
      <xdr:colOff>442232</xdr:colOff>
      <xdr:row>145</xdr:row>
      <xdr:rowOff>15874</xdr:rowOff>
    </xdr:from>
    <xdr:to>
      <xdr:col>12</xdr:col>
      <xdr:colOff>874232</xdr:colOff>
      <xdr:row>145</xdr:row>
      <xdr:rowOff>447874</xdr:rowOff>
    </xdr:to>
    <xdr:pic>
      <xdr:nvPicPr>
        <xdr:cNvPr id="420" name="Picture 419">
          <a:extLst>
            <a:ext uri="{FF2B5EF4-FFF2-40B4-BE49-F238E27FC236}">
              <a16:creationId xmlns:a16="http://schemas.microsoft.com/office/drawing/2014/main" id="{1DCE11B0-2119-4543-8BBA-D992A64C1E29}"/>
            </a:ext>
          </a:extLst>
        </xdr:cNvPr>
        <xdr:cNvPicPr>
          <a:picLocks noChangeAspect="1"/>
        </xdr:cNvPicPr>
      </xdr:nvPicPr>
      <xdr:blipFill>
        <a:blip xmlns:r="http://schemas.openxmlformats.org/officeDocument/2006/relationships" r:embed="rId19"/>
        <a:stretch>
          <a:fillRect/>
        </a:stretch>
      </xdr:blipFill>
      <xdr:spPr>
        <a:xfrm>
          <a:off x="5061857" y="44885428"/>
          <a:ext cx="432000" cy="432000"/>
        </a:xfrm>
        <a:prstGeom prst="rect">
          <a:avLst/>
        </a:prstGeom>
      </xdr:spPr>
    </xdr:pic>
    <xdr:clientData/>
  </xdr:twoCellAnchor>
  <xdr:twoCellAnchor>
    <xdr:from>
      <xdr:col>12</xdr:col>
      <xdr:colOff>450013</xdr:colOff>
      <xdr:row>146</xdr:row>
      <xdr:rowOff>21543</xdr:rowOff>
    </xdr:from>
    <xdr:to>
      <xdr:col>12</xdr:col>
      <xdr:colOff>882013</xdr:colOff>
      <xdr:row>146</xdr:row>
      <xdr:rowOff>453543</xdr:rowOff>
    </xdr:to>
    <xdr:pic>
      <xdr:nvPicPr>
        <xdr:cNvPr id="421" name="Picture 420" descr="hair protection">
          <a:extLst>
            <a:ext uri="{FF2B5EF4-FFF2-40B4-BE49-F238E27FC236}">
              <a16:creationId xmlns:a16="http://schemas.microsoft.com/office/drawing/2014/main" id="{0D06EF5A-482A-470A-BAA0-622B0AEC1534}"/>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69638" y="45346936"/>
          <a:ext cx="432000" cy="432000"/>
        </a:xfrm>
        <a:prstGeom prst="rect">
          <a:avLst/>
        </a:prstGeom>
        <a:noFill/>
        <a:ln>
          <a:noFill/>
        </a:ln>
      </xdr:spPr>
    </xdr:pic>
    <xdr:clientData/>
  </xdr:twoCellAnchor>
  <xdr:twoCellAnchor>
    <xdr:from>
      <xdr:col>12</xdr:col>
      <xdr:colOff>430735</xdr:colOff>
      <xdr:row>147</xdr:row>
      <xdr:rowOff>23811</xdr:rowOff>
    </xdr:from>
    <xdr:to>
      <xdr:col>12</xdr:col>
      <xdr:colOff>862735</xdr:colOff>
      <xdr:row>147</xdr:row>
      <xdr:rowOff>446286</xdr:rowOff>
    </xdr:to>
    <xdr:pic>
      <xdr:nvPicPr>
        <xdr:cNvPr id="422" name="Picture 421" descr="head protection">
          <a:extLst>
            <a:ext uri="{FF2B5EF4-FFF2-40B4-BE49-F238E27FC236}">
              <a16:creationId xmlns:a16="http://schemas.microsoft.com/office/drawing/2014/main" id="{06B0BA80-DE27-4F6B-870B-630350A5076A}"/>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50360" y="45805043"/>
          <a:ext cx="432000" cy="422475"/>
        </a:xfrm>
        <a:prstGeom prst="rect">
          <a:avLst/>
        </a:prstGeom>
        <a:noFill/>
        <a:ln>
          <a:noFill/>
        </a:ln>
      </xdr:spPr>
    </xdr:pic>
    <xdr:clientData/>
  </xdr:twoCellAnchor>
  <xdr:twoCellAnchor>
    <xdr:from>
      <xdr:col>12</xdr:col>
      <xdr:colOff>481990</xdr:colOff>
      <xdr:row>150</xdr:row>
      <xdr:rowOff>20408</xdr:rowOff>
    </xdr:from>
    <xdr:to>
      <xdr:col>12</xdr:col>
      <xdr:colOff>913990</xdr:colOff>
      <xdr:row>150</xdr:row>
      <xdr:rowOff>442883</xdr:rowOff>
    </xdr:to>
    <xdr:pic>
      <xdr:nvPicPr>
        <xdr:cNvPr id="423" name="Picture 422">
          <a:extLst>
            <a:ext uri="{FF2B5EF4-FFF2-40B4-BE49-F238E27FC236}">
              <a16:creationId xmlns:a16="http://schemas.microsoft.com/office/drawing/2014/main" id="{528C797F-E159-4714-851B-C32F695B49A8}"/>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101615" y="47169158"/>
          <a:ext cx="432000" cy="422475"/>
        </a:xfrm>
        <a:prstGeom prst="rect">
          <a:avLst/>
        </a:prstGeom>
        <a:noFill/>
        <a:ln>
          <a:noFill/>
        </a:ln>
      </xdr:spPr>
    </xdr:pic>
    <xdr:clientData/>
  </xdr:twoCellAnchor>
  <xdr:twoCellAnchor>
    <xdr:from>
      <xdr:col>12</xdr:col>
      <xdr:colOff>476094</xdr:colOff>
      <xdr:row>152</xdr:row>
      <xdr:rowOff>18142</xdr:rowOff>
    </xdr:from>
    <xdr:to>
      <xdr:col>12</xdr:col>
      <xdr:colOff>908094</xdr:colOff>
      <xdr:row>152</xdr:row>
      <xdr:rowOff>440617</xdr:rowOff>
    </xdr:to>
    <xdr:pic>
      <xdr:nvPicPr>
        <xdr:cNvPr id="424" name="Picture 423" descr="safety vests">
          <a:extLst>
            <a:ext uri="{FF2B5EF4-FFF2-40B4-BE49-F238E27FC236}">
              <a16:creationId xmlns:a16="http://schemas.microsoft.com/office/drawing/2014/main" id="{D836866E-70CC-48E0-BD60-C2F0183E338C}"/>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095719" y="48078571"/>
          <a:ext cx="432000" cy="422475"/>
        </a:xfrm>
        <a:prstGeom prst="rect">
          <a:avLst/>
        </a:prstGeom>
        <a:noFill/>
        <a:ln>
          <a:noFill/>
        </a:ln>
      </xdr:spPr>
    </xdr:pic>
    <xdr:clientData/>
  </xdr:twoCellAnchor>
  <xdr:twoCellAnchor>
    <xdr:from>
      <xdr:col>12</xdr:col>
      <xdr:colOff>479048</xdr:colOff>
      <xdr:row>148</xdr:row>
      <xdr:rowOff>18541</xdr:rowOff>
    </xdr:from>
    <xdr:to>
      <xdr:col>12</xdr:col>
      <xdr:colOff>911048</xdr:colOff>
      <xdr:row>148</xdr:row>
      <xdr:rowOff>441016</xdr:rowOff>
    </xdr:to>
    <xdr:pic>
      <xdr:nvPicPr>
        <xdr:cNvPr id="425" name="Picture 424">
          <a:extLst>
            <a:ext uri="{FF2B5EF4-FFF2-40B4-BE49-F238E27FC236}">
              <a16:creationId xmlns:a16="http://schemas.microsoft.com/office/drawing/2014/main" id="{F43A6D42-165D-430E-BACC-25DDF45AF7F4}"/>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098673" y="46255612"/>
          <a:ext cx="432000" cy="422475"/>
        </a:xfrm>
        <a:prstGeom prst="rect">
          <a:avLst/>
        </a:prstGeom>
        <a:noFill/>
      </xdr:spPr>
    </xdr:pic>
    <xdr:clientData/>
  </xdr:twoCellAnchor>
  <xdr:twoCellAnchor>
    <xdr:from>
      <xdr:col>12</xdr:col>
      <xdr:colOff>472691</xdr:colOff>
      <xdr:row>149</xdr:row>
      <xdr:rowOff>20410</xdr:rowOff>
    </xdr:from>
    <xdr:to>
      <xdr:col>12</xdr:col>
      <xdr:colOff>905440</xdr:colOff>
      <xdr:row>149</xdr:row>
      <xdr:rowOff>452410</xdr:rowOff>
    </xdr:to>
    <xdr:pic>
      <xdr:nvPicPr>
        <xdr:cNvPr id="426" name="Picture 425">
          <a:extLst>
            <a:ext uri="{FF2B5EF4-FFF2-40B4-BE49-F238E27FC236}">
              <a16:creationId xmlns:a16="http://schemas.microsoft.com/office/drawing/2014/main" id="{7F25BC85-42DB-42DC-BD89-358309013AE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092316" y="46713321"/>
          <a:ext cx="432749" cy="432000"/>
        </a:xfrm>
        <a:prstGeom prst="rect">
          <a:avLst/>
        </a:prstGeom>
      </xdr:spPr>
    </xdr:pic>
    <xdr:clientData/>
  </xdr:twoCellAnchor>
  <xdr:twoCellAnchor>
    <xdr:from>
      <xdr:col>12</xdr:col>
      <xdr:colOff>476250</xdr:colOff>
      <xdr:row>151</xdr:row>
      <xdr:rowOff>17010</xdr:rowOff>
    </xdr:from>
    <xdr:to>
      <xdr:col>12</xdr:col>
      <xdr:colOff>908250</xdr:colOff>
      <xdr:row>151</xdr:row>
      <xdr:rowOff>449010</xdr:rowOff>
    </xdr:to>
    <xdr:pic>
      <xdr:nvPicPr>
        <xdr:cNvPr id="427" name="Picture 426">
          <a:extLst>
            <a:ext uri="{FF2B5EF4-FFF2-40B4-BE49-F238E27FC236}">
              <a16:creationId xmlns:a16="http://schemas.microsoft.com/office/drawing/2014/main" id="{3D3DF3AA-EF10-4C24-B484-764C07FAE93C}"/>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095875" y="47621599"/>
          <a:ext cx="432000" cy="432000"/>
        </a:xfrm>
        <a:prstGeom prst="rect">
          <a:avLst/>
        </a:prstGeom>
      </xdr:spPr>
    </xdr:pic>
    <xdr:clientData/>
  </xdr:twoCellAnchor>
  <xdr:twoCellAnchor>
    <xdr:from>
      <xdr:col>12</xdr:col>
      <xdr:colOff>436563</xdr:colOff>
      <xdr:row>153</xdr:row>
      <xdr:rowOff>17008</xdr:rowOff>
    </xdr:from>
    <xdr:to>
      <xdr:col>12</xdr:col>
      <xdr:colOff>868563</xdr:colOff>
      <xdr:row>153</xdr:row>
      <xdr:rowOff>449008</xdr:rowOff>
    </xdr:to>
    <xdr:pic>
      <xdr:nvPicPr>
        <xdr:cNvPr id="428" name="Picture 427">
          <a:extLst>
            <a:ext uri="{FF2B5EF4-FFF2-40B4-BE49-F238E27FC236}">
              <a16:creationId xmlns:a16="http://schemas.microsoft.com/office/drawing/2014/main" id="{323D4E10-EA21-4DF5-A44F-589EAA7D5B78}"/>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056188" y="48533276"/>
          <a:ext cx="432000" cy="432000"/>
        </a:xfrm>
        <a:prstGeom prst="rect">
          <a:avLst/>
        </a:prstGeom>
      </xdr:spPr>
    </xdr:pic>
    <xdr:clientData/>
  </xdr:twoCellAnchor>
  <xdr:twoCellAnchor>
    <xdr:from>
      <xdr:col>12</xdr:col>
      <xdr:colOff>443370</xdr:colOff>
      <xdr:row>154</xdr:row>
      <xdr:rowOff>17007</xdr:rowOff>
    </xdr:from>
    <xdr:to>
      <xdr:col>12</xdr:col>
      <xdr:colOff>875370</xdr:colOff>
      <xdr:row>154</xdr:row>
      <xdr:rowOff>449007</xdr:rowOff>
    </xdr:to>
    <xdr:pic>
      <xdr:nvPicPr>
        <xdr:cNvPr id="429" name="Picture 428">
          <a:extLst>
            <a:ext uri="{FF2B5EF4-FFF2-40B4-BE49-F238E27FC236}">
              <a16:creationId xmlns:a16="http://schemas.microsoft.com/office/drawing/2014/main" id="{8E9F7A19-1B2C-4DCE-A02F-820DA2F3EB01}"/>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062995" y="48989114"/>
          <a:ext cx="432000" cy="432000"/>
        </a:xfrm>
        <a:prstGeom prst="rect">
          <a:avLst/>
        </a:prstGeom>
        <a:noFill/>
      </xdr:spPr>
    </xdr:pic>
    <xdr:clientData/>
  </xdr:twoCellAnchor>
  <xdr:twoCellAnchor>
    <xdr:from>
      <xdr:col>12</xdr:col>
      <xdr:colOff>457020</xdr:colOff>
      <xdr:row>155</xdr:row>
      <xdr:rowOff>30345</xdr:rowOff>
    </xdr:from>
    <xdr:to>
      <xdr:col>12</xdr:col>
      <xdr:colOff>889020</xdr:colOff>
      <xdr:row>155</xdr:row>
      <xdr:rowOff>452820</xdr:rowOff>
    </xdr:to>
    <xdr:pic>
      <xdr:nvPicPr>
        <xdr:cNvPr id="430" name="Picture 429">
          <a:extLst>
            <a:ext uri="{FF2B5EF4-FFF2-40B4-BE49-F238E27FC236}">
              <a16:creationId xmlns:a16="http://schemas.microsoft.com/office/drawing/2014/main" id="{C1C53429-0080-4438-95A8-BAA466035A74}"/>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076645" y="49458291"/>
          <a:ext cx="432000" cy="422475"/>
        </a:xfrm>
        <a:prstGeom prst="rect">
          <a:avLst/>
        </a:prstGeom>
        <a:ln>
          <a:solidFill>
            <a:schemeClr val="tx1"/>
          </a:solidFill>
        </a:ln>
      </xdr:spPr>
    </xdr:pic>
    <xdr:clientData/>
  </xdr:twoCellAnchor>
  <xdr:twoCellAnchor>
    <xdr:from>
      <xdr:col>9</xdr:col>
      <xdr:colOff>448878</xdr:colOff>
      <xdr:row>137</xdr:row>
      <xdr:rowOff>23131</xdr:rowOff>
    </xdr:from>
    <xdr:to>
      <xdr:col>9</xdr:col>
      <xdr:colOff>880878</xdr:colOff>
      <xdr:row>137</xdr:row>
      <xdr:rowOff>455131</xdr:rowOff>
    </xdr:to>
    <xdr:pic>
      <xdr:nvPicPr>
        <xdr:cNvPr id="431" name="Picture 430">
          <a:extLst>
            <a:ext uri="{FF2B5EF4-FFF2-40B4-BE49-F238E27FC236}">
              <a16:creationId xmlns:a16="http://schemas.microsoft.com/office/drawing/2014/main" id="{89130664-EFA5-41EF-9E46-44CAD11390C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138</xdr:row>
      <xdr:rowOff>23131</xdr:rowOff>
    </xdr:from>
    <xdr:to>
      <xdr:col>9</xdr:col>
      <xdr:colOff>880878</xdr:colOff>
      <xdr:row>138</xdr:row>
      <xdr:rowOff>455131</xdr:rowOff>
    </xdr:to>
    <xdr:pic>
      <xdr:nvPicPr>
        <xdr:cNvPr id="432" name="Picture 431">
          <a:extLst>
            <a:ext uri="{FF2B5EF4-FFF2-40B4-BE49-F238E27FC236}">
              <a16:creationId xmlns:a16="http://schemas.microsoft.com/office/drawing/2014/main" id="{D166F5F2-0D46-4FC9-A851-CA1390AF427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139</xdr:row>
      <xdr:rowOff>23131</xdr:rowOff>
    </xdr:from>
    <xdr:to>
      <xdr:col>9</xdr:col>
      <xdr:colOff>880878</xdr:colOff>
      <xdr:row>139</xdr:row>
      <xdr:rowOff>455131</xdr:rowOff>
    </xdr:to>
    <xdr:pic>
      <xdr:nvPicPr>
        <xdr:cNvPr id="433" name="Picture 432">
          <a:extLst>
            <a:ext uri="{FF2B5EF4-FFF2-40B4-BE49-F238E27FC236}">
              <a16:creationId xmlns:a16="http://schemas.microsoft.com/office/drawing/2014/main" id="{659D901B-55C9-4C0B-B94A-E025471F63D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140</xdr:row>
      <xdr:rowOff>23131</xdr:rowOff>
    </xdr:from>
    <xdr:to>
      <xdr:col>9</xdr:col>
      <xdr:colOff>880878</xdr:colOff>
      <xdr:row>140</xdr:row>
      <xdr:rowOff>455131</xdr:rowOff>
    </xdr:to>
    <xdr:pic>
      <xdr:nvPicPr>
        <xdr:cNvPr id="434" name="Picture 433">
          <a:extLst>
            <a:ext uri="{FF2B5EF4-FFF2-40B4-BE49-F238E27FC236}">
              <a16:creationId xmlns:a16="http://schemas.microsoft.com/office/drawing/2014/main" id="{D04A93C8-B771-462A-9644-C48D18C4A67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141</xdr:row>
      <xdr:rowOff>23131</xdr:rowOff>
    </xdr:from>
    <xdr:to>
      <xdr:col>9</xdr:col>
      <xdr:colOff>880878</xdr:colOff>
      <xdr:row>141</xdr:row>
      <xdr:rowOff>455131</xdr:rowOff>
    </xdr:to>
    <xdr:pic>
      <xdr:nvPicPr>
        <xdr:cNvPr id="435" name="Picture 434">
          <a:extLst>
            <a:ext uri="{FF2B5EF4-FFF2-40B4-BE49-F238E27FC236}">
              <a16:creationId xmlns:a16="http://schemas.microsoft.com/office/drawing/2014/main" id="{5F55BAB9-CD1B-494E-AD95-625C55E1444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142</xdr:row>
      <xdr:rowOff>23131</xdr:rowOff>
    </xdr:from>
    <xdr:to>
      <xdr:col>9</xdr:col>
      <xdr:colOff>880878</xdr:colOff>
      <xdr:row>142</xdr:row>
      <xdr:rowOff>455131</xdr:rowOff>
    </xdr:to>
    <xdr:pic>
      <xdr:nvPicPr>
        <xdr:cNvPr id="436" name="Picture 435">
          <a:extLst>
            <a:ext uri="{FF2B5EF4-FFF2-40B4-BE49-F238E27FC236}">
              <a16:creationId xmlns:a16="http://schemas.microsoft.com/office/drawing/2014/main" id="{D5522032-26C9-4269-BAD8-4AA69C32406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143</xdr:row>
      <xdr:rowOff>23131</xdr:rowOff>
    </xdr:from>
    <xdr:to>
      <xdr:col>9</xdr:col>
      <xdr:colOff>880878</xdr:colOff>
      <xdr:row>143</xdr:row>
      <xdr:rowOff>455131</xdr:rowOff>
    </xdr:to>
    <xdr:pic>
      <xdr:nvPicPr>
        <xdr:cNvPr id="437" name="Picture 436">
          <a:extLst>
            <a:ext uri="{FF2B5EF4-FFF2-40B4-BE49-F238E27FC236}">
              <a16:creationId xmlns:a16="http://schemas.microsoft.com/office/drawing/2014/main" id="{32DFC41A-349A-4E58-A654-E3CB74712A1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144</xdr:row>
      <xdr:rowOff>23131</xdr:rowOff>
    </xdr:from>
    <xdr:to>
      <xdr:col>9</xdr:col>
      <xdr:colOff>880878</xdr:colOff>
      <xdr:row>144</xdr:row>
      <xdr:rowOff>455131</xdr:rowOff>
    </xdr:to>
    <xdr:pic>
      <xdr:nvPicPr>
        <xdr:cNvPr id="438" name="Picture 437">
          <a:extLst>
            <a:ext uri="{FF2B5EF4-FFF2-40B4-BE49-F238E27FC236}">
              <a16:creationId xmlns:a16="http://schemas.microsoft.com/office/drawing/2014/main" id="{6A86526A-D5E2-4CC6-88D5-08A088232B2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145</xdr:row>
      <xdr:rowOff>23131</xdr:rowOff>
    </xdr:from>
    <xdr:to>
      <xdr:col>9</xdr:col>
      <xdr:colOff>880878</xdr:colOff>
      <xdr:row>145</xdr:row>
      <xdr:rowOff>455131</xdr:rowOff>
    </xdr:to>
    <xdr:pic>
      <xdr:nvPicPr>
        <xdr:cNvPr id="439" name="Picture 438">
          <a:extLst>
            <a:ext uri="{FF2B5EF4-FFF2-40B4-BE49-F238E27FC236}">
              <a16:creationId xmlns:a16="http://schemas.microsoft.com/office/drawing/2014/main" id="{EA3FFD78-DA86-4B84-8859-C3867A426B77}"/>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146</xdr:row>
      <xdr:rowOff>23131</xdr:rowOff>
    </xdr:from>
    <xdr:to>
      <xdr:col>9</xdr:col>
      <xdr:colOff>880878</xdr:colOff>
      <xdr:row>146</xdr:row>
      <xdr:rowOff>455131</xdr:rowOff>
    </xdr:to>
    <xdr:pic>
      <xdr:nvPicPr>
        <xdr:cNvPr id="440" name="Picture 439">
          <a:extLst>
            <a:ext uri="{FF2B5EF4-FFF2-40B4-BE49-F238E27FC236}">
              <a16:creationId xmlns:a16="http://schemas.microsoft.com/office/drawing/2014/main" id="{1AF42594-CE17-4121-9C62-92E728588BF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147</xdr:row>
      <xdr:rowOff>23131</xdr:rowOff>
    </xdr:from>
    <xdr:to>
      <xdr:col>9</xdr:col>
      <xdr:colOff>880878</xdr:colOff>
      <xdr:row>147</xdr:row>
      <xdr:rowOff>455131</xdr:rowOff>
    </xdr:to>
    <xdr:pic>
      <xdr:nvPicPr>
        <xdr:cNvPr id="441" name="Picture 440">
          <a:extLst>
            <a:ext uri="{FF2B5EF4-FFF2-40B4-BE49-F238E27FC236}">
              <a16:creationId xmlns:a16="http://schemas.microsoft.com/office/drawing/2014/main" id="{A40F8927-D7EC-499E-8751-5CC0E3E116A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148</xdr:row>
      <xdr:rowOff>23131</xdr:rowOff>
    </xdr:from>
    <xdr:to>
      <xdr:col>9</xdr:col>
      <xdr:colOff>880878</xdr:colOff>
      <xdr:row>148</xdr:row>
      <xdr:rowOff>455131</xdr:rowOff>
    </xdr:to>
    <xdr:pic>
      <xdr:nvPicPr>
        <xdr:cNvPr id="442" name="Picture 441">
          <a:extLst>
            <a:ext uri="{FF2B5EF4-FFF2-40B4-BE49-F238E27FC236}">
              <a16:creationId xmlns:a16="http://schemas.microsoft.com/office/drawing/2014/main" id="{A554B8F7-8CEB-44D8-B230-EAEFF06B291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149</xdr:row>
      <xdr:rowOff>23131</xdr:rowOff>
    </xdr:from>
    <xdr:to>
      <xdr:col>9</xdr:col>
      <xdr:colOff>880878</xdr:colOff>
      <xdr:row>149</xdr:row>
      <xdr:rowOff>455131</xdr:rowOff>
    </xdr:to>
    <xdr:pic>
      <xdr:nvPicPr>
        <xdr:cNvPr id="443" name="Picture 442">
          <a:extLst>
            <a:ext uri="{FF2B5EF4-FFF2-40B4-BE49-F238E27FC236}">
              <a16:creationId xmlns:a16="http://schemas.microsoft.com/office/drawing/2014/main" id="{9BB3CA26-34C7-4D27-ABB8-9B01B10CC7B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150</xdr:row>
      <xdr:rowOff>23131</xdr:rowOff>
    </xdr:from>
    <xdr:to>
      <xdr:col>9</xdr:col>
      <xdr:colOff>880878</xdr:colOff>
      <xdr:row>150</xdr:row>
      <xdr:rowOff>455131</xdr:rowOff>
    </xdr:to>
    <xdr:pic>
      <xdr:nvPicPr>
        <xdr:cNvPr id="444" name="Picture 443">
          <a:extLst>
            <a:ext uri="{FF2B5EF4-FFF2-40B4-BE49-F238E27FC236}">
              <a16:creationId xmlns:a16="http://schemas.microsoft.com/office/drawing/2014/main" id="{E551C524-EF47-4DD5-88B2-9AF33F82C7B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151</xdr:row>
      <xdr:rowOff>23131</xdr:rowOff>
    </xdr:from>
    <xdr:to>
      <xdr:col>9</xdr:col>
      <xdr:colOff>880878</xdr:colOff>
      <xdr:row>151</xdr:row>
      <xdr:rowOff>455131</xdr:rowOff>
    </xdr:to>
    <xdr:pic>
      <xdr:nvPicPr>
        <xdr:cNvPr id="445" name="Picture 444">
          <a:extLst>
            <a:ext uri="{FF2B5EF4-FFF2-40B4-BE49-F238E27FC236}">
              <a16:creationId xmlns:a16="http://schemas.microsoft.com/office/drawing/2014/main" id="{EF88872B-CD11-4AD9-ACA0-E631DB31B14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152</xdr:row>
      <xdr:rowOff>23131</xdr:rowOff>
    </xdr:from>
    <xdr:to>
      <xdr:col>9</xdr:col>
      <xdr:colOff>880878</xdr:colOff>
      <xdr:row>152</xdr:row>
      <xdr:rowOff>455131</xdr:rowOff>
    </xdr:to>
    <xdr:pic>
      <xdr:nvPicPr>
        <xdr:cNvPr id="446" name="Picture 445">
          <a:extLst>
            <a:ext uri="{FF2B5EF4-FFF2-40B4-BE49-F238E27FC236}">
              <a16:creationId xmlns:a16="http://schemas.microsoft.com/office/drawing/2014/main" id="{84762700-8CE8-495B-8922-7CEEDD6FADC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153</xdr:row>
      <xdr:rowOff>23131</xdr:rowOff>
    </xdr:from>
    <xdr:to>
      <xdr:col>9</xdr:col>
      <xdr:colOff>880878</xdr:colOff>
      <xdr:row>153</xdr:row>
      <xdr:rowOff>455131</xdr:rowOff>
    </xdr:to>
    <xdr:pic>
      <xdr:nvPicPr>
        <xdr:cNvPr id="447" name="Picture 446">
          <a:extLst>
            <a:ext uri="{FF2B5EF4-FFF2-40B4-BE49-F238E27FC236}">
              <a16:creationId xmlns:a16="http://schemas.microsoft.com/office/drawing/2014/main" id="{A81D749D-B791-48F4-BF82-E85E9344966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154</xdr:row>
      <xdr:rowOff>23131</xdr:rowOff>
    </xdr:from>
    <xdr:to>
      <xdr:col>9</xdr:col>
      <xdr:colOff>880878</xdr:colOff>
      <xdr:row>154</xdr:row>
      <xdr:rowOff>455131</xdr:rowOff>
    </xdr:to>
    <xdr:pic>
      <xdr:nvPicPr>
        <xdr:cNvPr id="448" name="Picture 447">
          <a:extLst>
            <a:ext uri="{FF2B5EF4-FFF2-40B4-BE49-F238E27FC236}">
              <a16:creationId xmlns:a16="http://schemas.microsoft.com/office/drawing/2014/main" id="{2DA7BD88-E9A1-46CA-A00C-5DC69179B6F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448878</xdr:colOff>
      <xdr:row>155</xdr:row>
      <xdr:rowOff>23131</xdr:rowOff>
    </xdr:from>
    <xdr:to>
      <xdr:col>9</xdr:col>
      <xdr:colOff>880878</xdr:colOff>
      <xdr:row>155</xdr:row>
      <xdr:rowOff>455131</xdr:rowOff>
    </xdr:to>
    <xdr:pic>
      <xdr:nvPicPr>
        <xdr:cNvPr id="449" name="Picture 448">
          <a:extLst>
            <a:ext uri="{FF2B5EF4-FFF2-40B4-BE49-F238E27FC236}">
              <a16:creationId xmlns:a16="http://schemas.microsoft.com/office/drawing/2014/main" id="{93C85859-24EE-41DF-A117-B609809426B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2027307" y="49906917"/>
          <a:ext cx="432000" cy="432000"/>
        </a:xfrm>
        <a:prstGeom prst="rect">
          <a:avLst/>
        </a:prstGeom>
        <a:noFill/>
        <a:ln>
          <a:noFill/>
        </a:ln>
      </xdr:spPr>
    </xdr:pic>
    <xdr:clientData/>
  </xdr:twoCellAnchor>
  <xdr:twoCellAnchor>
    <xdr:from>
      <xdr:col>9</xdr:col>
      <xdr:colOff>423181</xdr:colOff>
      <xdr:row>175</xdr:row>
      <xdr:rowOff>17237</xdr:rowOff>
    </xdr:from>
    <xdr:to>
      <xdr:col>9</xdr:col>
      <xdr:colOff>855181</xdr:colOff>
      <xdr:row>175</xdr:row>
      <xdr:rowOff>439712</xdr:rowOff>
    </xdr:to>
    <xdr:pic>
      <xdr:nvPicPr>
        <xdr:cNvPr id="450" name="Picture 449">
          <a:extLst>
            <a:ext uri="{FF2B5EF4-FFF2-40B4-BE49-F238E27FC236}">
              <a16:creationId xmlns:a16="http://schemas.microsoft.com/office/drawing/2014/main" id="{57AC9649-C57C-4F01-8B30-C0EA063DBB1A}"/>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2001610" y="62208683"/>
          <a:ext cx="432000" cy="422475"/>
        </a:xfrm>
        <a:prstGeom prst="rect">
          <a:avLst/>
        </a:prstGeom>
      </xdr:spPr>
    </xdr:pic>
    <xdr:clientData/>
  </xdr:twoCellAnchor>
  <xdr:twoCellAnchor>
    <xdr:from>
      <xdr:col>9</xdr:col>
      <xdr:colOff>423181</xdr:colOff>
      <xdr:row>176</xdr:row>
      <xdr:rowOff>17237</xdr:rowOff>
    </xdr:from>
    <xdr:to>
      <xdr:col>9</xdr:col>
      <xdr:colOff>855181</xdr:colOff>
      <xdr:row>176</xdr:row>
      <xdr:rowOff>439712</xdr:rowOff>
    </xdr:to>
    <xdr:pic>
      <xdr:nvPicPr>
        <xdr:cNvPr id="451" name="Picture 450">
          <a:extLst>
            <a:ext uri="{FF2B5EF4-FFF2-40B4-BE49-F238E27FC236}">
              <a16:creationId xmlns:a16="http://schemas.microsoft.com/office/drawing/2014/main" id="{9A6C6CE8-0A07-4754-906F-032ADDAAD2A0}"/>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2001610" y="62208683"/>
          <a:ext cx="432000" cy="422475"/>
        </a:xfrm>
        <a:prstGeom prst="rect">
          <a:avLst/>
        </a:prstGeom>
      </xdr:spPr>
    </xdr:pic>
    <xdr:clientData/>
  </xdr:twoCellAnchor>
  <xdr:twoCellAnchor>
    <xdr:from>
      <xdr:col>9</xdr:col>
      <xdr:colOff>423181</xdr:colOff>
      <xdr:row>177</xdr:row>
      <xdr:rowOff>17237</xdr:rowOff>
    </xdr:from>
    <xdr:to>
      <xdr:col>9</xdr:col>
      <xdr:colOff>855181</xdr:colOff>
      <xdr:row>177</xdr:row>
      <xdr:rowOff>439712</xdr:rowOff>
    </xdr:to>
    <xdr:pic>
      <xdr:nvPicPr>
        <xdr:cNvPr id="452" name="Picture 451">
          <a:extLst>
            <a:ext uri="{FF2B5EF4-FFF2-40B4-BE49-F238E27FC236}">
              <a16:creationId xmlns:a16="http://schemas.microsoft.com/office/drawing/2014/main" id="{7F97DEF8-F614-4321-9416-9C806ABF3851}"/>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2001610" y="62208683"/>
          <a:ext cx="432000" cy="422475"/>
        </a:xfrm>
        <a:prstGeom prst="rect">
          <a:avLst/>
        </a:prstGeom>
      </xdr:spPr>
    </xdr:pic>
    <xdr:clientData/>
  </xdr:twoCellAnchor>
  <xdr:twoCellAnchor>
    <xdr:from>
      <xdr:col>9</xdr:col>
      <xdr:colOff>423181</xdr:colOff>
      <xdr:row>178</xdr:row>
      <xdr:rowOff>17237</xdr:rowOff>
    </xdr:from>
    <xdr:to>
      <xdr:col>9</xdr:col>
      <xdr:colOff>855181</xdr:colOff>
      <xdr:row>178</xdr:row>
      <xdr:rowOff>439712</xdr:rowOff>
    </xdr:to>
    <xdr:pic>
      <xdr:nvPicPr>
        <xdr:cNvPr id="453" name="Picture 452">
          <a:extLst>
            <a:ext uri="{FF2B5EF4-FFF2-40B4-BE49-F238E27FC236}">
              <a16:creationId xmlns:a16="http://schemas.microsoft.com/office/drawing/2014/main" id="{E7049EB4-04AC-487E-AE6D-D6E158B7BE89}"/>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2001610" y="62208683"/>
          <a:ext cx="432000" cy="422475"/>
        </a:xfrm>
        <a:prstGeom prst="rect">
          <a:avLst/>
        </a:prstGeom>
      </xdr:spPr>
    </xdr:pic>
    <xdr:clientData/>
  </xdr:twoCellAnchor>
  <xdr:twoCellAnchor>
    <xdr:from>
      <xdr:col>9</xdr:col>
      <xdr:colOff>423181</xdr:colOff>
      <xdr:row>179</xdr:row>
      <xdr:rowOff>17237</xdr:rowOff>
    </xdr:from>
    <xdr:to>
      <xdr:col>9</xdr:col>
      <xdr:colOff>855181</xdr:colOff>
      <xdr:row>179</xdr:row>
      <xdr:rowOff>439712</xdr:rowOff>
    </xdr:to>
    <xdr:pic>
      <xdr:nvPicPr>
        <xdr:cNvPr id="454" name="Picture 453">
          <a:extLst>
            <a:ext uri="{FF2B5EF4-FFF2-40B4-BE49-F238E27FC236}">
              <a16:creationId xmlns:a16="http://schemas.microsoft.com/office/drawing/2014/main" id="{7F0B950D-B8D0-4C51-8B15-33030AEFCC80}"/>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2001610" y="62208683"/>
          <a:ext cx="432000" cy="422475"/>
        </a:xfrm>
        <a:prstGeom prst="rect">
          <a:avLst/>
        </a:prstGeom>
      </xdr:spPr>
    </xdr:pic>
    <xdr:clientData/>
  </xdr:twoCellAnchor>
  <xdr:twoCellAnchor>
    <xdr:from>
      <xdr:col>9</xdr:col>
      <xdr:colOff>432255</xdr:colOff>
      <xdr:row>189</xdr:row>
      <xdr:rowOff>17235</xdr:rowOff>
    </xdr:from>
    <xdr:to>
      <xdr:col>9</xdr:col>
      <xdr:colOff>864372</xdr:colOff>
      <xdr:row>189</xdr:row>
      <xdr:rowOff>449235</xdr:rowOff>
    </xdr:to>
    <xdr:pic>
      <xdr:nvPicPr>
        <xdr:cNvPr id="456" name="Picture 455">
          <a:extLst>
            <a:ext uri="{FF2B5EF4-FFF2-40B4-BE49-F238E27FC236}">
              <a16:creationId xmlns:a16="http://schemas.microsoft.com/office/drawing/2014/main" id="{9AE2A32D-1543-4BC0-B039-6C193E58159F}"/>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2010684" y="64487878"/>
          <a:ext cx="432117" cy="432000"/>
        </a:xfrm>
        <a:prstGeom prst="rect">
          <a:avLst/>
        </a:prstGeom>
      </xdr:spPr>
    </xdr:pic>
    <xdr:clientData/>
  </xdr:twoCellAnchor>
  <xdr:twoCellAnchor>
    <xdr:from>
      <xdr:col>9</xdr:col>
      <xdr:colOff>432255</xdr:colOff>
      <xdr:row>190</xdr:row>
      <xdr:rowOff>17235</xdr:rowOff>
    </xdr:from>
    <xdr:to>
      <xdr:col>9</xdr:col>
      <xdr:colOff>864372</xdr:colOff>
      <xdr:row>190</xdr:row>
      <xdr:rowOff>449235</xdr:rowOff>
    </xdr:to>
    <xdr:pic>
      <xdr:nvPicPr>
        <xdr:cNvPr id="457" name="Picture 456">
          <a:extLst>
            <a:ext uri="{FF2B5EF4-FFF2-40B4-BE49-F238E27FC236}">
              <a16:creationId xmlns:a16="http://schemas.microsoft.com/office/drawing/2014/main" id="{C1996BFE-6344-4038-A7CA-ADEF8AB92BD1}"/>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2010684" y="64487878"/>
          <a:ext cx="432117" cy="432000"/>
        </a:xfrm>
        <a:prstGeom prst="rect">
          <a:avLst/>
        </a:prstGeom>
      </xdr:spPr>
    </xdr:pic>
    <xdr:clientData/>
  </xdr:twoCellAnchor>
  <xdr:twoCellAnchor>
    <xdr:from>
      <xdr:col>9</xdr:col>
      <xdr:colOff>432255</xdr:colOff>
      <xdr:row>191</xdr:row>
      <xdr:rowOff>17235</xdr:rowOff>
    </xdr:from>
    <xdr:to>
      <xdr:col>9</xdr:col>
      <xdr:colOff>864372</xdr:colOff>
      <xdr:row>191</xdr:row>
      <xdr:rowOff>449235</xdr:rowOff>
    </xdr:to>
    <xdr:pic>
      <xdr:nvPicPr>
        <xdr:cNvPr id="458" name="Picture 457">
          <a:extLst>
            <a:ext uri="{FF2B5EF4-FFF2-40B4-BE49-F238E27FC236}">
              <a16:creationId xmlns:a16="http://schemas.microsoft.com/office/drawing/2014/main" id="{28187CA1-F25D-4506-9A8D-51061E3D9C30}"/>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2010684" y="64487878"/>
          <a:ext cx="432117" cy="432000"/>
        </a:xfrm>
        <a:prstGeom prst="rect">
          <a:avLst/>
        </a:prstGeom>
      </xdr:spPr>
    </xdr:pic>
    <xdr:clientData/>
  </xdr:twoCellAnchor>
  <xdr:twoCellAnchor>
    <xdr:from>
      <xdr:col>9</xdr:col>
      <xdr:colOff>432255</xdr:colOff>
      <xdr:row>192</xdr:row>
      <xdr:rowOff>17235</xdr:rowOff>
    </xdr:from>
    <xdr:to>
      <xdr:col>9</xdr:col>
      <xdr:colOff>864372</xdr:colOff>
      <xdr:row>192</xdr:row>
      <xdr:rowOff>449235</xdr:rowOff>
    </xdr:to>
    <xdr:pic>
      <xdr:nvPicPr>
        <xdr:cNvPr id="459" name="Picture 458">
          <a:extLst>
            <a:ext uri="{FF2B5EF4-FFF2-40B4-BE49-F238E27FC236}">
              <a16:creationId xmlns:a16="http://schemas.microsoft.com/office/drawing/2014/main" id="{358ED626-B321-489C-9AF6-6555614EB51C}"/>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2010684" y="64487878"/>
          <a:ext cx="432117" cy="432000"/>
        </a:xfrm>
        <a:prstGeom prst="rect">
          <a:avLst/>
        </a:prstGeom>
      </xdr:spPr>
    </xdr:pic>
    <xdr:clientData/>
  </xdr:twoCellAnchor>
  <xdr:twoCellAnchor>
    <xdr:from>
      <xdr:col>12</xdr:col>
      <xdr:colOff>447901</xdr:colOff>
      <xdr:row>162</xdr:row>
      <xdr:rowOff>20411</xdr:rowOff>
    </xdr:from>
    <xdr:to>
      <xdr:col>12</xdr:col>
      <xdr:colOff>879901</xdr:colOff>
      <xdr:row>162</xdr:row>
      <xdr:rowOff>452038</xdr:rowOff>
    </xdr:to>
    <xdr:pic>
      <xdr:nvPicPr>
        <xdr:cNvPr id="461" name="Picture 460">
          <a:extLst>
            <a:ext uri="{FF2B5EF4-FFF2-40B4-BE49-F238E27FC236}">
              <a16:creationId xmlns:a16="http://schemas.microsoft.com/office/drawing/2014/main" id="{1031988F-CCA5-418C-BA14-BB0EF16F101A}"/>
            </a:ext>
          </a:extLst>
        </xdr:cNvPr>
        <xdr:cNvPicPr>
          <a:picLocks noChangeAspect="1"/>
        </xdr:cNvPicPr>
      </xdr:nvPicPr>
      <xdr:blipFill>
        <a:blip xmlns:r="http://schemas.openxmlformats.org/officeDocument/2006/relationships" r:embed="rId15"/>
        <a:stretch>
          <a:fillRect/>
        </a:stretch>
      </xdr:blipFill>
      <xdr:spPr>
        <a:xfrm>
          <a:off x="2026330" y="65858572"/>
          <a:ext cx="432000" cy="431627"/>
        </a:xfrm>
        <a:prstGeom prst="rect">
          <a:avLst/>
        </a:prstGeom>
      </xdr:spPr>
    </xdr:pic>
    <xdr:clientData/>
  </xdr:twoCellAnchor>
  <xdr:twoCellAnchor>
    <xdr:from>
      <xdr:col>12</xdr:col>
      <xdr:colOff>445477</xdr:colOff>
      <xdr:row>163</xdr:row>
      <xdr:rowOff>22677</xdr:rowOff>
    </xdr:from>
    <xdr:to>
      <xdr:col>12</xdr:col>
      <xdr:colOff>877477</xdr:colOff>
      <xdr:row>163</xdr:row>
      <xdr:rowOff>445152</xdr:rowOff>
    </xdr:to>
    <xdr:pic>
      <xdr:nvPicPr>
        <xdr:cNvPr id="464" name="Picture 463">
          <a:extLst>
            <a:ext uri="{FF2B5EF4-FFF2-40B4-BE49-F238E27FC236}">
              <a16:creationId xmlns:a16="http://schemas.microsoft.com/office/drawing/2014/main" id="{C806DC3D-D93E-4953-9CD9-AF61166F696E}"/>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23906" y="66316677"/>
          <a:ext cx="432000" cy="422475"/>
        </a:xfrm>
        <a:prstGeom prst="rect">
          <a:avLst/>
        </a:prstGeom>
        <a:noFill/>
      </xdr:spPr>
    </xdr:pic>
    <xdr:clientData/>
  </xdr:twoCellAnchor>
  <xdr:twoCellAnchor>
    <xdr:from>
      <xdr:col>12</xdr:col>
      <xdr:colOff>450013</xdr:colOff>
      <xdr:row>164</xdr:row>
      <xdr:rowOff>0</xdr:rowOff>
    </xdr:from>
    <xdr:to>
      <xdr:col>12</xdr:col>
      <xdr:colOff>882013</xdr:colOff>
      <xdr:row>164</xdr:row>
      <xdr:rowOff>0</xdr:rowOff>
    </xdr:to>
    <xdr:pic>
      <xdr:nvPicPr>
        <xdr:cNvPr id="466" name="Picture 465" descr="hair protection">
          <a:extLst>
            <a:ext uri="{FF2B5EF4-FFF2-40B4-BE49-F238E27FC236}">
              <a16:creationId xmlns:a16="http://schemas.microsoft.com/office/drawing/2014/main" id="{60AD8DBC-3C52-4BAC-93F7-50F54CECE9C0}"/>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28442" y="68138900"/>
          <a:ext cx="432000" cy="432000"/>
        </a:xfrm>
        <a:prstGeom prst="rect">
          <a:avLst/>
        </a:prstGeom>
        <a:noFill/>
        <a:ln>
          <a:noFill/>
        </a:ln>
      </xdr:spPr>
    </xdr:pic>
    <xdr:clientData/>
  </xdr:twoCellAnchor>
  <xdr:twoCellAnchor>
    <xdr:from>
      <xdr:col>12</xdr:col>
      <xdr:colOff>430735</xdr:colOff>
      <xdr:row>164</xdr:row>
      <xdr:rowOff>23811</xdr:rowOff>
    </xdr:from>
    <xdr:to>
      <xdr:col>12</xdr:col>
      <xdr:colOff>862735</xdr:colOff>
      <xdr:row>164</xdr:row>
      <xdr:rowOff>446286</xdr:rowOff>
    </xdr:to>
    <xdr:pic>
      <xdr:nvPicPr>
        <xdr:cNvPr id="467" name="Picture 466" descr="head protection">
          <a:extLst>
            <a:ext uri="{FF2B5EF4-FFF2-40B4-BE49-F238E27FC236}">
              <a16:creationId xmlns:a16="http://schemas.microsoft.com/office/drawing/2014/main" id="{8DDB98DE-1BB3-4EA6-876D-6B3DFC7AA4A6}"/>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09164" y="68597007"/>
          <a:ext cx="432000" cy="422475"/>
        </a:xfrm>
        <a:prstGeom prst="rect">
          <a:avLst/>
        </a:prstGeom>
        <a:noFill/>
        <a:ln>
          <a:noFill/>
        </a:ln>
      </xdr:spPr>
    </xdr:pic>
    <xdr:clientData/>
  </xdr:twoCellAnchor>
  <xdr:twoCellAnchor>
    <xdr:from>
      <xdr:col>12</xdr:col>
      <xdr:colOff>481990</xdr:colOff>
      <xdr:row>167</xdr:row>
      <xdr:rowOff>20408</xdr:rowOff>
    </xdr:from>
    <xdr:to>
      <xdr:col>12</xdr:col>
      <xdr:colOff>913990</xdr:colOff>
      <xdr:row>167</xdr:row>
      <xdr:rowOff>442883</xdr:rowOff>
    </xdr:to>
    <xdr:pic>
      <xdr:nvPicPr>
        <xdr:cNvPr id="468" name="Picture 467">
          <a:extLst>
            <a:ext uri="{FF2B5EF4-FFF2-40B4-BE49-F238E27FC236}">
              <a16:creationId xmlns:a16="http://schemas.microsoft.com/office/drawing/2014/main" id="{0E1A4F53-FFE3-4F40-973C-7B47530B3714}"/>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2060419" y="69961122"/>
          <a:ext cx="432000" cy="422475"/>
        </a:xfrm>
        <a:prstGeom prst="rect">
          <a:avLst/>
        </a:prstGeom>
        <a:noFill/>
        <a:ln>
          <a:noFill/>
        </a:ln>
      </xdr:spPr>
    </xdr:pic>
    <xdr:clientData/>
  </xdr:twoCellAnchor>
  <xdr:twoCellAnchor>
    <xdr:from>
      <xdr:col>12</xdr:col>
      <xdr:colOff>476094</xdr:colOff>
      <xdr:row>169</xdr:row>
      <xdr:rowOff>18142</xdr:rowOff>
    </xdr:from>
    <xdr:to>
      <xdr:col>12</xdr:col>
      <xdr:colOff>908094</xdr:colOff>
      <xdr:row>169</xdr:row>
      <xdr:rowOff>440617</xdr:rowOff>
    </xdr:to>
    <xdr:pic>
      <xdr:nvPicPr>
        <xdr:cNvPr id="469" name="Picture 468" descr="safety vests">
          <a:extLst>
            <a:ext uri="{FF2B5EF4-FFF2-40B4-BE49-F238E27FC236}">
              <a16:creationId xmlns:a16="http://schemas.microsoft.com/office/drawing/2014/main" id="{ED145EAE-5AB3-4079-807E-DA9B7389686D}"/>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2054523" y="70870535"/>
          <a:ext cx="432000" cy="422475"/>
        </a:xfrm>
        <a:prstGeom prst="rect">
          <a:avLst/>
        </a:prstGeom>
        <a:noFill/>
        <a:ln>
          <a:noFill/>
        </a:ln>
      </xdr:spPr>
    </xdr:pic>
    <xdr:clientData/>
  </xdr:twoCellAnchor>
  <xdr:twoCellAnchor>
    <xdr:from>
      <xdr:col>12</xdr:col>
      <xdr:colOff>479048</xdr:colOff>
      <xdr:row>165</xdr:row>
      <xdr:rowOff>18541</xdr:rowOff>
    </xdr:from>
    <xdr:to>
      <xdr:col>12</xdr:col>
      <xdr:colOff>911048</xdr:colOff>
      <xdr:row>165</xdr:row>
      <xdr:rowOff>441016</xdr:rowOff>
    </xdr:to>
    <xdr:pic>
      <xdr:nvPicPr>
        <xdr:cNvPr id="470" name="Picture 469">
          <a:extLst>
            <a:ext uri="{FF2B5EF4-FFF2-40B4-BE49-F238E27FC236}">
              <a16:creationId xmlns:a16="http://schemas.microsoft.com/office/drawing/2014/main" id="{8D837D08-E5A3-4915-98B1-25E9B3F86DC9}"/>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57477" y="69047577"/>
          <a:ext cx="432000" cy="422475"/>
        </a:xfrm>
        <a:prstGeom prst="rect">
          <a:avLst/>
        </a:prstGeom>
        <a:noFill/>
      </xdr:spPr>
    </xdr:pic>
    <xdr:clientData/>
  </xdr:twoCellAnchor>
  <xdr:twoCellAnchor>
    <xdr:from>
      <xdr:col>12</xdr:col>
      <xdr:colOff>472691</xdr:colOff>
      <xdr:row>166</xdr:row>
      <xdr:rowOff>20410</xdr:rowOff>
    </xdr:from>
    <xdr:to>
      <xdr:col>12</xdr:col>
      <xdr:colOff>905440</xdr:colOff>
      <xdr:row>166</xdr:row>
      <xdr:rowOff>452410</xdr:rowOff>
    </xdr:to>
    <xdr:pic>
      <xdr:nvPicPr>
        <xdr:cNvPr id="471" name="Picture 470">
          <a:extLst>
            <a:ext uri="{FF2B5EF4-FFF2-40B4-BE49-F238E27FC236}">
              <a16:creationId xmlns:a16="http://schemas.microsoft.com/office/drawing/2014/main" id="{96236A53-196B-4864-BC50-9AE3939634C7}"/>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051120" y="69505285"/>
          <a:ext cx="432749" cy="432000"/>
        </a:xfrm>
        <a:prstGeom prst="rect">
          <a:avLst/>
        </a:prstGeom>
      </xdr:spPr>
    </xdr:pic>
    <xdr:clientData/>
  </xdr:twoCellAnchor>
  <xdr:twoCellAnchor>
    <xdr:from>
      <xdr:col>12</xdr:col>
      <xdr:colOff>476250</xdr:colOff>
      <xdr:row>168</xdr:row>
      <xdr:rowOff>17010</xdr:rowOff>
    </xdr:from>
    <xdr:to>
      <xdr:col>12</xdr:col>
      <xdr:colOff>908250</xdr:colOff>
      <xdr:row>168</xdr:row>
      <xdr:rowOff>449010</xdr:rowOff>
    </xdr:to>
    <xdr:pic>
      <xdr:nvPicPr>
        <xdr:cNvPr id="472" name="Picture 471">
          <a:extLst>
            <a:ext uri="{FF2B5EF4-FFF2-40B4-BE49-F238E27FC236}">
              <a16:creationId xmlns:a16="http://schemas.microsoft.com/office/drawing/2014/main" id="{4683E158-A184-4069-983D-B9CE736FE1AF}"/>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2054679" y="70413564"/>
          <a:ext cx="432000" cy="432000"/>
        </a:xfrm>
        <a:prstGeom prst="rect">
          <a:avLst/>
        </a:prstGeom>
      </xdr:spPr>
    </xdr:pic>
    <xdr:clientData/>
  </xdr:twoCellAnchor>
  <xdr:twoCellAnchor>
    <xdr:from>
      <xdr:col>12</xdr:col>
      <xdr:colOff>436563</xdr:colOff>
      <xdr:row>170</xdr:row>
      <xdr:rowOff>17008</xdr:rowOff>
    </xdr:from>
    <xdr:to>
      <xdr:col>12</xdr:col>
      <xdr:colOff>868563</xdr:colOff>
      <xdr:row>170</xdr:row>
      <xdr:rowOff>449008</xdr:rowOff>
    </xdr:to>
    <xdr:pic>
      <xdr:nvPicPr>
        <xdr:cNvPr id="473" name="Picture 472">
          <a:extLst>
            <a:ext uri="{FF2B5EF4-FFF2-40B4-BE49-F238E27FC236}">
              <a16:creationId xmlns:a16="http://schemas.microsoft.com/office/drawing/2014/main" id="{C6AD9E0B-A94C-4594-A26C-B6D0263DAD4D}"/>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056188" y="66311008"/>
          <a:ext cx="432000" cy="432000"/>
        </a:xfrm>
        <a:prstGeom prst="rect">
          <a:avLst/>
        </a:prstGeom>
      </xdr:spPr>
    </xdr:pic>
    <xdr:clientData/>
  </xdr:twoCellAnchor>
  <xdr:twoCellAnchor>
    <xdr:from>
      <xdr:col>12</xdr:col>
      <xdr:colOff>443370</xdr:colOff>
      <xdr:row>171</xdr:row>
      <xdr:rowOff>17007</xdr:rowOff>
    </xdr:from>
    <xdr:to>
      <xdr:col>12</xdr:col>
      <xdr:colOff>875370</xdr:colOff>
      <xdr:row>171</xdr:row>
      <xdr:rowOff>449007</xdr:rowOff>
    </xdr:to>
    <xdr:pic>
      <xdr:nvPicPr>
        <xdr:cNvPr id="474" name="Picture 473">
          <a:extLst>
            <a:ext uri="{FF2B5EF4-FFF2-40B4-BE49-F238E27FC236}">
              <a16:creationId xmlns:a16="http://schemas.microsoft.com/office/drawing/2014/main" id="{D367F572-B1E2-4C08-90D6-D3388FF6A371}"/>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021799" y="71781078"/>
          <a:ext cx="432000" cy="432000"/>
        </a:xfrm>
        <a:prstGeom prst="rect">
          <a:avLst/>
        </a:prstGeom>
        <a:noFill/>
      </xdr:spPr>
    </xdr:pic>
    <xdr:clientData/>
  </xdr:twoCellAnchor>
  <xdr:twoCellAnchor>
    <xdr:from>
      <xdr:col>12</xdr:col>
      <xdr:colOff>457020</xdr:colOff>
      <xdr:row>172</xdr:row>
      <xdr:rowOff>30345</xdr:rowOff>
    </xdr:from>
    <xdr:to>
      <xdr:col>12</xdr:col>
      <xdr:colOff>889020</xdr:colOff>
      <xdr:row>172</xdr:row>
      <xdr:rowOff>452820</xdr:rowOff>
    </xdr:to>
    <xdr:pic>
      <xdr:nvPicPr>
        <xdr:cNvPr id="475" name="Picture 474">
          <a:extLst>
            <a:ext uri="{FF2B5EF4-FFF2-40B4-BE49-F238E27FC236}">
              <a16:creationId xmlns:a16="http://schemas.microsoft.com/office/drawing/2014/main" id="{58390587-0901-4DC9-BBD8-0E80ABCBECA2}"/>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035449" y="72250256"/>
          <a:ext cx="432000" cy="422475"/>
        </a:xfrm>
        <a:prstGeom prst="rect">
          <a:avLst/>
        </a:prstGeom>
        <a:ln>
          <a:solidFill>
            <a:schemeClr val="tx1"/>
          </a:solidFill>
        </a:ln>
      </xdr:spPr>
    </xdr:pic>
    <xdr:clientData/>
  </xdr:twoCellAnchor>
  <xdr:twoCellAnchor>
    <xdr:from>
      <xdr:col>9</xdr:col>
      <xdr:colOff>432255</xdr:colOff>
      <xdr:row>194</xdr:row>
      <xdr:rowOff>17235</xdr:rowOff>
    </xdr:from>
    <xdr:to>
      <xdr:col>9</xdr:col>
      <xdr:colOff>864372</xdr:colOff>
      <xdr:row>194</xdr:row>
      <xdr:rowOff>449235</xdr:rowOff>
    </xdr:to>
    <xdr:pic>
      <xdr:nvPicPr>
        <xdr:cNvPr id="476" name="Picture 475">
          <a:extLst>
            <a:ext uri="{FF2B5EF4-FFF2-40B4-BE49-F238E27FC236}">
              <a16:creationId xmlns:a16="http://schemas.microsoft.com/office/drawing/2014/main" id="{6F4C85B4-BD13-47D9-ADE0-E73B20C5642E}"/>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2010684" y="64487878"/>
          <a:ext cx="432117" cy="432000"/>
        </a:xfrm>
        <a:prstGeom prst="rect">
          <a:avLst/>
        </a:prstGeom>
      </xdr:spPr>
    </xdr:pic>
    <xdr:clientData/>
  </xdr:twoCellAnchor>
  <xdr:twoCellAnchor>
    <xdr:from>
      <xdr:col>9</xdr:col>
      <xdr:colOff>432255</xdr:colOff>
      <xdr:row>195</xdr:row>
      <xdr:rowOff>17235</xdr:rowOff>
    </xdr:from>
    <xdr:to>
      <xdr:col>9</xdr:col>
      <xdr:colOff>864372</xdr:colOff>
      <xdr:row>195</xdr:row>
      <xdr:rowOff>449235</xdr:rowOff>
    </xdr:to>
    <xdr:pic>
      <xdr:nvPicPr>
        <xdr:cNvPr id="477" name="Picture 476">
          <a:extLst>
            <a:ext uri="{FF2B5EF4-FFF2-40B4-BE49-F238E27FC236}">
              <a16:creationId xmlns:a16="http://schemas.microsoft.com/office/drawing/2014/main" id="{EEFA8168-68D6-4F5F-8927-93A3600892FE}"/>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2010684" y="64487878"/>
          <a:ext cx="432117" cy="432000"/>
        </a:xfrm>
        <a:prstGeom prst="rect">
          <a:avLst/>
        </a:prstGeom>
      </xdr:spPr>
    </xdr:pic>
    <xdr:clientData/>
  </xdr:twoCellAnchor>
  <xdr:twoCellAnchor>
    <xdr:from>
      <xdr:col>9</xdr:col>
      <xdr:colOff>423181</xdr:colOff>
      <xdr:row>174</xdr:row>
      <xdr:rowOff>17237</xdr:rowOff>
    </xdr:from>
    <xdr:to>
      <xdr:col>9</xdr:col>
      <xdr:colOff>855181</xdr:colOff>
      <xdr:row>174</xdr:row>
      <xdr:rowOff>439712</xdr:rowOff>
    </xdr:to>
    <xdr:pic>
      <xdr:nvPicPr>
        <xdr:cNvPr id="479" name="Picture 478">
          <a:extLst>
            <a:ext uri="{FF2B5EF4-FFF2-40B4-BE49-F238E27FC236}">
              <a16:creationId xmlns:a16="http://schemas.microsoft.com/office/drawing/2014/main" id="{873EF2EB-5911-4DDE-B0B0-E5FE375B0917}"/>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2001610" y="61752844"/>
          <a:ext cx="432000" cy="422475"/>
        </a:xfrm>
        <a:prstGeom prst="rect">
          <a:avLst/>
        </a:prstGeom>
      </xdr:spPr>
    </xdr:pic>
    <xdr:clientData/>
  </xdr:twoCellAnchor>
  <xdr:twoCellAnchor>
    <xdr:from>
      <xdr:col>12</xdr:col>
      <xdr:colOff>447902</xdr:colOff>
      <xdr:row>157</xdr:row>
      <xdr:rowOff>17690</xdr:rowOff>
    </xdr:from>
    <xdr:to>
      <xdr:col>12</xdr:col>
      <xdr:colOff>879902</xdr:colOff>
      <xdr:row>157</xdr:row>
      <xdr:rowOff>439792</xdr:rowOff>
    </xdr:to>
    <xdr:pic>
      <xdr:nvPicPr>
        <xdr:cNvPr id="481" name="Picture 480">
          <a:extLst>
            <a:ext uri="{FF2B5EF4-FFF2-40B4-BE49-F238E27FC236}">
              <a16:creationId xmlns:a16="http://schemas.microsoft.com/office/drawing/2014/main" id="{61060D04-75A1-4B4C-BFC8-C8815FF0572C}"/>
            </a:ext>
          </a:extLst>
        </xdr:cNvPr>
        <xdr:cNvPicPr>
          <a:picLocks noChangeAspect="1"/>
        </xdr:cNvPicPr>
      </xdr:nvPicPr>
      <xdr:blipFill>
        <a:blip xmlns:r="http://schemas.openxmlformats.org/officeDocument/2006/relationships" r:embed="rId15"/>
        <a:stretch>
          <a:fillRect/>
        </a:stretch>
      </xdr:blipFill>
      <xdr:spPr>
        <a:xfrm>
          <a:off x="5067527" y="59018261"/>
          <a:ext cx="432000" cy="422102"/>
        </a:xfrm>
        <a:prstGeom prst="rect">
          <a:avLst/>
        </a:prstGeom>
      </xdr:spPr>
    </xdr:pic>
    <xdr:clientData/>
  </xdr:twoCellAnchor>
  <xdr:twoCellAnchor>
    <xdr:from>
      <xdr:col>12</xdr:col>
      <xdr:colOff>442982</xdr:colOff>
      <xdr:row>156</xdr:row>
      <xdr:rowOff>16328</xdr:rowOff>
    </xdr:from>
    <xdr:to>
      <xdr:col>12</xdr:col>
      <xdr:colOff>874367</xdr:colOff>
      <xdr:row>156</xdr:row>
      <xdr:rowOff>448328</xdr:rowOff>
    </xdr:to>
    <xdr:pic>
      <xdr:nvPicPr>
        <xdr:cNvPr id="482" name="Picture 481">
          <a:extLst>
            <a:ext uri="{FF2B5EF4-FFF2-40B4-BE49-F238E27FC236}">
              <a16:creationId xmlns:a16="http://schemas.microsoft.com/office/drawing/2014/main" id="{06AEC637-C453-45D8-B385-A622A967CD4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21411" y="68589524"/>
          <a:ext cx="431385" cy="432000"/>
        </a:xfrm>
        <a:prstGeom prst="rect">
          <a:avLst/>
        </a:prstGeom>
      </xdr:spPr>
    </xdr:pic>
    <xdr:clientData/>
  </xdr:twoCellAnchor>
  <xdr:twoCellAnchor>
    <xdr:from>
      <xdr:col>12</xdr:col>
      <xdr:colOff>447902</xdr:colOff>
      <xdr:row>157</xdr:row>
      <xdr:rowOff>17690</xdr:rowOff>
    </xdr:from>
    <xdr:to>
      <xdr:col>12</xdr:col>
      <xdr:colOff>879902</xdr:colOff>
      <xdr:row>157</xdr:row>
      <xdr:rowOff>439792</xdr:rowOff>
    </xdr:to>
    <xdr:pic>
      <xdr:nvPicPr>
        <xdr:cNvPr id="483" name="Picture 482">
          <a:extLst>
            <a:ext uri="{FF2B5EF4-FFF2-40B4-BE49-F238E27FC236}">
              <a16:creationId xmlns:a16="http://schemas.microsoft.com/office/drawing/2014/main" id="{76000457-87C4-4D2B-9002-06C0BE2185F8}"/>
            </a:ext>
          </a:extLst>
        </xdr:cNvPr>
        <xdr:cNvPicPr>
          <a:picLocks noChangeAspect="1"/>
        </xdr:cNvPicPr>
      </xdr:nvPicPr>
      <xdr:blipFill>
        <a:blip xmlns:r="http://schemas.openxmlformats.org/officeDocument/2006/relationships" r:embed="rId15"/>
        <a:stretch>
          <a:fillRect/>
        </a:stretch>
      </xdr:blipFill>
      <xdr:spPr>
        <a:xfrm>
          <a:off x="2026331" y="69046726"/>
          <a:ext cx="432000" cy="422102"/>
        </a:xfrm>
        <a:prstGeom prst="rect">
          <a:avLst/>
        </a:prstGeom>
      </xdr:spPr>
    </xdr:pic>
    <xdr:clientData/>
  </xdr:twoCellAnchor>
  <xdr:twoCellAnchor>
    <xdr:from>
      <xdr:col>12</xdr:col>
      <xdr:colOff>447901</xdr:colOff>
      <xdr:row>158</xdr:row>
      <xdr:rowOff>20411</xdr:rowOff>
    </xdr:from>
    <xdr:to>
      <xdr:col>12</xdr:col>
      <xdr:colOff>879901</xdr:colOff>
      <xdr:row>158</xdr:row>
      <xdr:rowOff>452038</xdr:rowOff>
    </xdr:to>
    <xdr:pic>
      <xdr:nvPicPr>
        <xdr:cNvPr id="484" name="Picture 483">
          <a:extLst>
            <a:ext uri="{FF2B5EF4-FFF2-40B4-BE49-F238E27FC236}">
              <a16:creationId xmlns:a16="http://schemas.microsoft.com/office/drawing/2014/main" id="{4677F643-B994-4024-9EB7-4E726A110680}"/>
            </a:ext>
          </a:extLst>
        </xdr:cNvPr>
        <xdr:cNvPicPr>
          <a:picLocks noChangeAspect="1"/>
        </xdr:cNvPicPr>
      </xdr:nvPicPr>
      <xdr:blipFill>
        <a:blip xmlns:r="http://schemas.openxmlformats.org/officeDocument/2006/relationships" r:embed="rId15"/>
        <a:stretch>
          <a:fillRect/>
        </a:stretch>
      </xdr:blipFill>
      <xdr:spPr>
        <a:xfrm>
          <a:off x="2026330" y="69505286"/>
          <a:ext cx="432000" cy="431627"/>
        </a:xfrm>
        <a:prstGeom prst="rect">
          <a:avLst/>
        </a:prstGeom>
      </xdr:spPr>
    </xdr:pic>
    <xdr:clientData/>
  </xdr:twoCellAnchor>
  <xdr:twoCellAnchor>
    <xdr:from>
      <xdr:col>12</xdr:col>
      <xdr:colOff>442075</xdr:colOff>
      <xdr:row>160</xdr:row>
      <xdr:rowOff>12109</xdr:rowOff>
    </xdr:from>
    <xdr:to>
      <xdr:col>12</xdr:col>
      <xdr:colOff>874075</xdr:colOff>
      <xdr:row>160</xdr:row>
      <xdr:rowOff>444806</xdr:rowOff>
    </xdr:to>
    <xdr:pic>
      <xdr:nvPicPr>
        <xdr:cNvPr id="485" name="Picture 484">
          <a:extLst>
            <a:ext uri="{FF2B5EF4-FFF2-40B4-BE49-F238E27FC236}">
              <a16:creationId xmlns:a16="http://schemas.microsoft.com/office/drawing/2014/main" id="{611B3EAB-2EC0-4884-B342-29C722518F86}"/>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2020504" y="70408663"/>
          <a:ext cx="432000" cy="432697"/>
        </a:xfrm>
        <a:prstGeom prst="rect">
          <a:avLst/>
        </a:prstGeom>
        <a:noFill/>
      </xdr:spPr>
    </xdr:pic>
    <xdr:clientData/>
  </xdr:twoCellAnchor>
  <xdr:twoCellAnchor>
    <xdr:from>
      <xdr:col>12</xdr:col>
      <xdr:colOff>419396</xdr:colOff>
      <xdr:row>161</xdr:row>
      <xdr:rowOff>34877</xdr:rowOff>
    </xdr:from>
    <xdr:to>
      <xdr:col>12</xdr:col>
      <xdr:colOff>851396</xdr:colOff>
      <xdr:row>162</xdr:row>
      <xdr:rowOff>1512</xdr:rowOff>
    </xdr:to>
    <xdr:pic>
      <xdr:nvPicPr>
        <xdr:cNvPr id="486" name="Picture 485">
          <a:extLst>
            <a:ext uri="{FF2B5EF4-FFF2-40B4-BE49-F238E27FC236}">
              <a16:creationId xmlns:a16="http://schemas.microsoft.com/office/drawing/2014/main" id="{098D4A2A-0265-47F0-8EFC-A26D6B9A858B}"/>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039021" y="65417198"/>
          <a:ext cx="432000" cy="422475"/>
        </a:xfrm>
        <a:prstGeom prst="rect">
          <a:avLst/>
        </a:prstGeom>
        <a:noFill/>
      </xdr:spPr>
    </xdr:pic>
    <xdr:clientData/>
  </xdr:twoCellAnchor>
  <xdr:twoCellAnchor>
    <xdr:from>
      <xdr:col>12</xdr:col>
      <xdr:colOff>445477</xdr:colOff>
      <xdr:row>159</xdr:row>
      <xdr:rowOff>22677</xdr:rowOff>
    </xdr:from>
    <xdr:to>
      <xdr:col>12</xdr:col>
      <xdr:colOff>877477</xdr:colOff>
      <xdr:row>159</xdr:row>
      <xdr:rowOff>445152</xdr:rowOff>
    </xdr:to>
    <xdr:pic>
      <xdr:nvPicPr>
        <xdr:cNvPr id="487" name="Picture 486">
          <a:extLst>
            <a:ext uri="{FF2B5EF4-FFF2-40B4-BE49-F238E27FC236}">
              <a16:creationId xmlns:a16="http://schemas.microsoft.com/office/drawing/2014/main" id="{FAA9C85B-6D50-495B-9787-5DCC45B500C1}"/>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23906" y="69963391"/>
          <a:ext cx="432000" cy="422475"/>
        </a:xfrm>
        <a:prstGeom prst="rect">
          <a:avLst/>
        </a:prstGeom>
        <a:noFill/>
      </xdr:spPr>
    </xdr:pic>
    <xdr:clientData/>
  </xdr:twoCellAnchor>
  <xdr:twoCellAnchor>
    <xdr:from>
      <xdr:col>12</xdr:col>
      <xdr:colOff>442232</xdr:colOff>
      <xdr:row>162</xdr:row>
      <xdr:rowOff>15874</xdr:rowOff>
    </xdr:from>
    <xdr:to>
      <xdr:col>12</xdr:col>
      <xdr:colOff>874232</xdr:colOff>
      <xdr:row>162</xdr:row>
      <xdr:rowOff>447874</xdr:rowOff>
    </xdr:to>
    <xdr:pic>
      <xdr:nvPicPr>
        <xdr:cNvPr id="488" name="Picture 487">
          <a:extLst>
            <a:ext uri="{FF2B5EF4-FFF2-40B4-BE49-F238E27FC236}">
              <a16:creationId xmlns:a16="http://schemas.microsoft.com/office/drawing/2014/main" id="{0ABD6F2C-7B2F-4364-9040-C25F338D011A}"/>
            </a:ext>
          </a:extLst>
        </xdr:cNvPr>
        <xdr:cNvPicPr>
          <a:picLocks noChangeAspect="1"/>
        </xdr:cNvPicPr>
      </xdr:nvPicPr>
      <xdr:blipFill>
        <a:blip xmlns:r="http://schemas.openxmlformats.org/officeDocument/2006/relationships" r:embed="rId19"/>
        <a:stretch>
          <a:fillRect/>
        </a:stretch>
      </xdr:blipFill>
      <xdr:spPr>
        <a:xfrm>
          <a:off x="2020661" y="71324106"/>
          <a:ext cx="432000" cy="432000"/>
        </a:xfrm>
        <a:prstGeom prst="rect">
          <a:avLst/>
        </a:prstGeom>
      </xdr:spPr>
    </xdr:pic>
    <xdr:clientData/>
  </xdr:twoCellAnchor>
  <xdr:twoCellAnchor>
    <xdr:from>
      <xdr:col>12</xdr:col>
      <xdr:colOff>450013</xdr:colOff>
      <xdr:row>163</xdr:row>
      <xdr:rowOff>21543</xdr:rowOff>
    </xdr:from>
    <xdr:to>
      <xdr:col>12</xdr:col>
      <xdr:colOff>882013</xdr:colOff>
      <xdr:row>163</xdr:row>
      <xdr:rowOff>453543</xdr:rowOff>
    </xdr:to>
    <xdr:pic>
      <xdr:nvPicPr>
        <xdr:cNvPr id="489" name="Picture 488" descr="hair protection">
          <a:extLst>
            <a:ext uri="{FF2B5EF4-FFF2-40B4-BE49-F238E27FC236}">
              <a16:creationId xmlns:a16="http://schemas.microsoft.com/office/drawing/2014/main" id="{7336E6A8-53B1-4D66-A7E7-24D22136E96D}"/>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2028442" y="71785614"/>
          <a:ext cx="432000" cy="432000"/>
        </a:xfrm>
        <a:prstGeom prst="rect">
          <a:avLst/>
        </a:prstGeom>
        <a:noFill/>
        <a:ln>
          <a:noFill/>
        </a:ln>
      </xdr:spPr>
    </xdr:pic>
    <xdr:clientData/>
  </xdr:twoCellAnchor>
  <xdr:twoCellAnchor>
    <xdr:from>
      <xdr:col>9</xdr:col>
      <xdr:colOff>399596</xdr:colOff>
      <xdr:row>157</xdr:row>
      <xdr:rowOff>21636</xdr:rowOff>
    </xdr:from>
    <xdr:to>
      <xdr:col>9</xdr:col>
      <xdr:colOff>831596</xdr:colOff>
      <xdr:row>157</xdr:row>
      <xdr:rowOff>444111</xdr:rowOff>
    </xdr:to>
    <xdr:pic>
      <xdr:nvPicPr>
        <xdr:cNvPr id="490" name="Picture 489">
          <a:extLst>
            <a:ext uri="{FF2B5EF4-FFF2-40B4-BE49-F238E27FC236}">
              <a16:creationId xmlns:a16="http://schemas.microsoft.com/office/drawing/2014/main" id="{8268D764-C6B2-4E76-ABB1-8B2DE918E543}"/>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158</xdr:row>
      <xdr:rowOff>21636</xdr:rowOff>
    </xdr:from>
    <xdr:to>
      <xdr:col>9</xdr:col>
      <xdr:colOff>831596</xdr:colOff>
      <xdr:row>158</xdr:row>
      <xdr:rowOff>444111</xdr:rowOff>
    </xdr:to>
    <xdr:pic>
      <xdr:nvPicPr>
        <xdr:cNvPr id="491" name="Picture 490">
          <a:extLst>
            <a:ext uri="{FF2B5EF4-FFF2-40B4-BE49-F238E27FC236}">
              <a16:creationId xmlns:a16="http://schemas.microsoft.com/office/drawing/2014/main" id="{7ECF39D0-50BD-4231-80E1-AB2658E20B67}"/>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159</xdr:row>
      <xdr:rowOff>21636</xdr:rowOff>
    </xdr:from>
    <xdr:to>
      <xdr:col>9</xdr:col>
      <xdr:colOff>831596</xdr:colOff>
      <xdr:row>159</xdr:row>
      <xdr:rowOff>444111</xdr:rowOff>
    </xdr:to>
    <xdr:pic>
      <xdr:nvPicPr>
        <xdr:cNvPr id="492" name="Picture 491">
          <a:extLst>
            <a:ext uri="{FF2B5EF4-FFF2-40B4-BE49-F238E27FC236}">
              <a16:creationId xmlns:a16="http://schemas.microsoft.com/office/drawing/2014/main" id="{1ED19D3D-A0C9-4063-A8B4-461C836705B4}"/>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160</xdr:row>
      <xdr:rowOff>21636</xdr:rowOff>
    </xdr:from>
    <xdr:to>
      <xdr:col>9</xdr:col>
      <xdr:colOff>831596</xdr:colOff>
      <xdr:row>160</xdr:row>
      <xdr:rowOff>444111</xdr:rowOff>
    </xdr:to>
    <xdr:pic>
      <xdr:nvPicPr>
        <xdr:cNvPr id="493" name="Picture 492">
          <a:extLst>
            <a:ext uri="{FF2B5EF4-FFF2-40B4-BE49-F238E27FC236}">
              <a16:creationId xmlns:a16="http://schemas.microsoft.com/office/drawing/2014/main" id="{22597009-2D17-4A66-9ECA-1101300D192A}"/>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161</xdr:row>
      <xdr:rowOff>21636</xdr:rowOff>
    </xdr:from>
    <xdr:to>
      <xdr:col>9</xdr:col>
      <xdr:colOff>831596</xdr:colOff>
      <xdr:row>161</xdr:row>
      <xdr:rowOff>444111</xdr:rowOff>
    </xdr:to>
    <xdr:pic>
      <xdr:nvPicPr>
        <xdr:cNvPr id="494" name="Picture 493">
          <a:extLst>
            <a:ext uri="{FF2B5EF4-FFF2-40B4-BE49-F238E27FC236}">
              <a16:creationId xmlns:a16="http://schemas.microsoft.com/office/drawing/2014/main" id="{DD102B88-6C6F-4CB7-BAED-89B56946E645}"/>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162</xdr:row>
      <xdr:rowOff>21636</xdr:rowOff>
    </xdr:from>
    <xdr:to>
      <xdr:col>9</xdr:col>
      <xdr:colOff>831596</xdr:colOff>
      <xdr:row>162</xdr:row>
      <xdr:rowOff>444111</xdr:rowOff>
    </xdr:to>
    <xdr:pic>
      <xdr:nvPicPr>
        <xdr:cNvPr id="495" name="Picture 494">
          <a:extLst>
            <a:ext uri="{FF2B5EF4-FFF2-40B4-BE49-F238E27FC236}">
              <a16:creationId xmlns:a16="http://schemas.microsoft.com/office/drawing/2014/main" id="{D55E58C6-0E65-4939-A8B7-344B221FE401}"/>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163</xdr:row>
      <xdr:rowOff>21636</xdr:rowOff>
    </xdr:from>
    <xdr:to>
      <xdr:col>9</xdr:col>
      <xdr:colOff>831596</xdr:colOff>
      <xdr:row>163</xdr:row>
      <xdr:rowOff>444111</xdr:rowOff>
    </xdr:to>
    <xdr:pic>
      <xdr:nvPicPr>
        <xdr:cNvPr id="496" name="Picture 495">
          <a:extLst>
            <a:ext uri="{FF2B5EF4-FFF2-40B4-BE49-F238E27FC236}">
              <a16:creationId xmlns:a16="http://schemas.microsoft.com/office/drawing/2014/main" id="{4B79A44F-6199-431E-8927-78A509E06D9E}"/>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164</xdr:row>
      <xdr:rowOff>21636</xdr:rowOff>
    </xdr:from>
    <xdr:to>
      <xdr:col>9</xdr:col>
      <xdr:colOff>831596</xdr:colOff>
      <xdr:row>164</xdr:row>
      <xdr:rowOff>444111</xdr:rowOff>
    </xdr:to>
    <xdr:pic>
      <xdr:nvPicPr>
        <xdr:cNvPr id="501" name="Picture 500">
          <a:extLst>
            <a:ext uri="{FF2B5EF4-FFF2-40B4-BE49-F238E27FC236}">
              <a16:creationId xmlns:a16="http://schemas.microsoft.com/office/drawing/2014/main" id="{4D7D42BC-FA59-4172-8BE7-336092B83628}"/>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165</xdr:row>
      <xdr:rowOff>21636</xdr:rowOff>
    </xdr:from>
    <xdr:to>
      <xdr:col>9</xdr:col>
      <xdr:colOff>831596</xdr:colOff>
      <xdr:row>165</xdr:row>
      <xdr:rowOff>444111</xdr:rowOff>
    </xdr:to>
    <xdr:pic>
      <xdr:nvPicPr>
        <xdr:cNvPr id="502" name="Picture 501">
          <a:extLst>
            <a:ext uri="{FF2B5EF4-FFF2-40B4-BE49-F238E27FC236}">
              <a16:creationId xmlns:a16="http://schemas.microsoft.com/office/drawing/2014/main" id="{AC1DD491-C50E-4D54-B9D9-F95B5FC48ACC}"/>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166</xdr:row>
      <xdr:rowOff>21636</xdr:rowOff>
    </xdr:from>
    <xdr:to>
      <xdr:col>9</xdr:col>
      <xdr:colOff>831596</xdr:colOff>
      <xdr:row>166</xdr:row>
      <xdr:rowOff>444111</xdr:rowOff>
    </xdr:to>
    <xdr:pic>
      <xdr:nvPicPr>
        <xdr:cNvPr id="503" name="Picture 502">
          <a:extLst>
            <a:ext uri="{FF2B5EF4-FFF2-40B4-BE49-F238E27FC236}">
              <a16:creationId xmlns:a16="http://schemas.microsoft.com/office/drawing/2014/main" id="{0A7F1356-621E-42F5-BDAF-6BF82EB2455A}"/>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167</xdr:row>
      <xdr:rowOff>21636</xdr:rowOff>
    </xdr:from>
    <xdr:to>
      <xdr:col>9</xdr:col>
      <xdr:colOff>831596</xdr:colOff>
      <xdr:row>167</xdr:row>
      <xdr:rowOff>444111</xdr:rowOff>
    </xdr:to>
    <xdr:pic>
      <xdr:nvPicPr>
        <xdr:cNvPr id="504" name="Picture 503">
          <a:extLst>
            <a:ext uri="{FF2B5EF4-FFF2-40B4-BE49-F238E27FC236}">
              <a16:creationId xmlns:a16="http://schemas.microsoft.com/office/drawing/2014/main" id="{43B70701-B926-4CB6-A210-C399874E1243}"/>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168</xdr:row>
      <xdr:rowOff>21636</xdr:rowOff>
    </xdr:from>
    <xdr:to>
      <xdr:col>9</xdr:col>
      <xdr:colOff>831596</xdr:colOff>
      <xdr:row>168</xdr:row>
      <xdr:rowOff>444111</xdr:rowOff>
    </xdr:to>
    <xdr:pic>
      <xdr:nvPicPr>
        <xdr:cNvPr id="505" name="Picture 504">
          <a:extLst>
            <a:ext uri="{FF2B5EF4-FFF2-40B4-BE49-F238E27FC236}">
              <a16:creationId xmlns:a16="http://schemas.microsoft.com/office/drawing/2014/main" id="{7D53564A-9839-420B-9852-9157B8F1B1AA}"/>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169</xdr:row>
      <xdr:rowOff>21636</xdr:rowOff>
    </xdr:from>
    <xdr:to>
      <xdr:col>9</xdr:col>
      <xdr:colOff>831596</xdr:colOff>
      <xdr:row>169</xdr:row>
      <xdr:rowOff>444111</xdr:rowOff>
    </xdr:to>
    <xdr:pic>
      <xdr:nvPicPr>
        <xdr:cNvPr id="506" name="Picture 505">
          <a:extLst>
            <a:ext uri="{FF2B5EF4-FFF2-40B4-BE49-F238E27FC236}">
              <a16:creationId xmlns:a16="http://schemas.microsoft.com/office/drawing/2014/main" id="{59429481-1F13-4EFC-976B-7A0B3BE26286}"/>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170</xdr:row>
      <xdr:rowOff>21636</xdr:rowOff>
    </xdr:from>
    <xdr:to>
      <xdr:col>9</xdr:col>
      <xdr:colOff>831596</xdr:colOff>
      <xdr:row>170</xdr:row>
      <xdr:rowOff>444111</xdr:rowOff>
    </xdr:to>
    <xdr:pic>
      <xdr:nvPicPr>
        <xdr:cNvPr id="507" name="Picture 506">
          <a:extLst>
            <a:ext uri="{FF2B5EF4-FFF2-40B4-BE49-F238E27FC236}">
              <a16:creationId xmlns:a16="http://schemas.microsoft.com/office/drawing/2014/main" id="{DAAE03E2-A645-4E3F-963D-206A9F238DC2}"/>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171</xdr:row>
      <xdr:rowOff>21636</xdr:rowOff>
    </xdr:from>
    <xdr:to>
      <xdr:col>9</xdr:col>
      <xdr:colOff>831596</xdr:colOff>
      <xdr:row>171</xdr:row>
      <xdr:rowOff>444111</xdr:rowOff>
    </xdr:to>
    <xdr:pic>
      <xdr:nvPicPr>
        <xdr:cNvPr id="508" name="Picture 507">
          <a:extLst>
            <a:ext uri="{FF2B5EF4-FFF2-40B4-BE49-F238E27FC236}">
              <a16:creationId xmlns:a16="http://schemas.microsoft.com/office/drawing/2014/main" id="{03EAD2C1-097B-41CC-93D3-8AC43C5DC7E4}"/>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399596</xdr:colOff>
      <xdr:row>172</xdr:row>
      <xdr:rowOff>21636</xdr:rowOff>
    </xdr:from>
    <xdr:to>
      <xdr:col>9</xdr:col>
      <xdr:colOff>831596</xdr:colOff>
      <xdr:row>172</xdr:row>
      <xdr:rowOff>444111</xdr:rowOff>
    </xdr:to>
    <xdr:pic>
      <xdr:nvPicPr>
        <xdr:cNvPr id="509" name="Picture 508">
          <a:extLst>
            <a:ext uri="{FF2B5EF4-FFF2-40B4-BE49-F238E27FC236}">
              <a16:creationId xmlns:a16="http://schemas.microsoft.com/office/drawing/2014/main" id="{60255260-D588-40D9-8CB7-8374BEFCB685}"/>
            </a:ext>
          </a:extLst>
        </xdr:cNvPr>
        <xdr:cNvPicPr>
          <a:picLocks noChangeAspect="1"/>
        </xdr:cNvPicPr>
      </xdr:nvPicPr>
      <xdr:blipFill>
        <a:blip xmlns:r="http://schemas.openxmlformats.org/officeDocument/2006/relationships" r:embed="rId12"/>
        <a:stretch>
          <a:fillRect/>
        </a:stretch>
      </xdr:blipFill>
      <xdr:spPr>
        <a:xfrm>
          <a:off x="5754007" y="59022207"/>
          <a:ext cx="432000" cy="422475"/>
        </a:xfrm>
        <a:prstGeom prst="rect">
          <a:avLst/>
        </a:prstGeom>
      </xdr:spPr>
    </xdr:pic>
    <xdr:clientData/>
  </xdr:twoCellAnchor>
  <xdr:twoCellAnchor>
    <xdr:from>
      <xdr:col>9</xdr:col>
      <xdr:colOff>423181</xdr:colOff>
      <xdr:row>173</xdr:row>
      <xdr:rowOff>17237</xdr:rowOff>
    </xdr:from>
    <xdr:to>
      <xdr:col>9</xdr:col>
      <xdr:colOff>855181</xdr:colOff>
      <xdr:row>173</xdr:row>
      <xdr:rowOff>439712</xdr:rowOff>
    </xdr:to>
    <xdr:pic>
      <xdr:nvPicPr>
        <xdr:cNvPr id="510" name="Picture 509">
          <a:extLst>
            <a:ext uri="{FF2B5EF4-FFF2-40B4-BE49-F238E27FC236}">
              <a16:creationId xmlns:a16="http://schemas.microsoft.com/office/drawing/2014/main" id="{5868D1AC-C90E-4342-AEB8-CB17A99E1A68}"/>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69046273"/>
          <a:ext cx="432000" cy="422475"/>
        </a:xfrm>
        <a:prstGeom prst="rect">
          <a:avLst/>
        </a:prstGeom>
      </xdr:spPr>
    </xdr:pic>
    <xdr:clientData/>
  </xdr:twoCellAnchor>
  <xdr:twoCellAnchor>
    <xdr:from>
      <xdr:col>12</xdr:col>
      <xdr:colOff>447901</xdr:colOff>
      <xdr:row>178</xdr:row>
      <xdr:rowOff>20411</xdr:rowOff>
    </xdr:from>
    <xdr:to>
      <xdr:col>12</xdr:col>
      <xdr:colOff>879901</xdr:colOff>
      <xdr:row>178</xdr:row>
      <xdr:rowOff>452038</xdr:rowOff>
    </xdr:to>
    <xdr:pic>
      <xdr:nvPicPr>
        <xdr:cNvPr id="511" name="Picture 510">
          <a:extLst>
            <a:ext uri="{FF2B5EF4-FFF2-40B4-BE49-F238E27FC236}">
              <a16:creationId xmlns:a16="http://schemas.microsoft.com/office/drawing/2014/main" id="{3A2E25CA-ECB8-4264-AC6E-ECB0E82333F8}"/>
            </a:ext>
          </a:extLst>
        </xdr:cNvPr>
        <xdr:cNvPicPr>
          <a:picLocks noChangeAspect="1"/>
        </xdr:cNvPicPr>
      </xdr:nvPicPr>
      <xdr:blipFill>
        <a:blip xmlns:r="http://schemas.openxmlformats.org/officeDocument/2006/relationships" r:embed="rId15"/>
        <a:stretch>
          <a:fillRect/>
        </a:stretch>
      </xdr:blipFill>
      <xdr:spPr>
        <a:xfrm>
          <a:off x="8843508" y="61756018"/>
          <a:ext cx="432000" cy="431627"/>
        </a:xfrm>
        <a:prstGeom prst="rect">
          <a:avLst/>
        </a:prstGeom>
      </xdr:spPr>
    </xdr:pic>
    <xdr:clientData/>
  </xdr:twoCellAnchor>
  <xdr:twoCellAnchor>
    <xdr:from>
      <xdr:col>12</xdr:col>
      <xdr:colOff>445477</xdr:colOff>
      <xdr:row>179</xdr:row>
      <xdr:rowOff>22677</xdr:rowOff>
    </xdr:from>
    <xdr:to>
      <xdr:col>12</xdr:col>
      <xdr:colOff>877477</xdr:colOff>
      <xdr:row>179</xdr:row>
      <xdr:rowOff>445152</xdr:rowOff>
    </xdr:to>
    <xdr:pic>
      <xdr:nvPicPr>
        <xdr:cNvPr id="514" name="Picture 513">
          <a:extLst>
            <a:ext uri="{FF2B5EF4-FFF2-40B4-BE49-F238E27FC236}">
              <a16:creationId xmlns:a16="http://schemas.microsoft.com/office/drawing/2014/main" id="{22072C61-D654-49B0-AD7E-6E93A4BF6B8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1084" y="62214123"/>
          <a:ext cx="432000" cy="422475"/>
        </a:xfrm>
        <a:prstGeom prst="rect">
          <a:avLst/>
        </a:prstGeom>
        <a:noFill/>
      </xdr:spPr>
    </xdr:pic>
    <xdr:clientData/>
  </xdr:twoCellAnchor>
  <xdr:twoCellAnchor>
    <xdr:from>
      <xdr:col>12</xdr:col>
      <xdr:colOff>450013</xdr:colOff>
      <xdr:row>180</xdr:row>
      <xdr:rowOff>0</xdr:rowOff>
    </xdr:from>
    <xdr:to>
      <xdr:col>12</xdr:col>
      <xdr:colOff>882013</xdr:colOff>
      <xdr:row>180</xdr:row>
      <xdr:rowOff>0</xdr:rowOff>
    </xdr:to>
    <xdr:pic>
      <xdr:nvPicPr>
        <xdr:cNvPr id="516" name="Picture 515" descr="hair protection">
          <a:extLst>
            <a:ext uri="{FF2B5EF4-FFF2-40B4-BE49-F238E27FC236}">
              <a16:creationId xmlns:a16="http://schemas.microsoft.com/office/drawing/2014/main" id="{20DC9FDB-7148-41DA-A6C7-581D8C454B1E}"/>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5620" y="64036347"/>
          <a:ext cx="432000" cy="432000"/>
        </a:xfrm>
        <a:prstGeom prst="rect">
          <a:avLst/>
        </a:prstGeom>
        <a:noFill/>
        <a:ln>
          <a:noFill/>
        </a:ln>
      </xdr:spPr>
    </xdr:pic>
    <xdr:clientData/>
  </xdr:twoCellAnchor>
  <xdr:twoCellAnchor>
    <xdr:from>
      <xdr:col>12</xdr:col>
      <xdr:colOff>430735</xdr:colOff>
      <xdr:row>180</xdr:row>
      <xdr:rowOff>23811</xdr:rowOff>
    </xdr:from>
    <xdr:to>
      <xdr:col>12</xdr:col>
      <xdr:colOff>862735</xdr:colOff>
      <xdr:row>180</xdr:row>
      <xdr:rowOff>446286</xdr:rowOff>
    </xdr:to>
    <xdr:pic>
      <xdr:nvPicPr>
        <xdr:cNvPr id="517" name="Picture 516" descr="head protection">
          <a:extLst>
            <a:ext uri="{FF2B5EF4-FFF2-40B4-BE49-F238E27FC236}">
              <a16:creationId xmlns:a16="http://schemas.microsoft.com/office/drawing/2014/main" id="{E49B0BB7-9500-4684-B55C-FDFC92402180}"/>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26342" y="64494454"/>
          <a:ext cx="432000" cy="422475"/>
        </a:xfrm>
        <a:prstGeom prst="rect">
          <a:avLst/>
        </a:prstGeom>
        <a:noFill/>
        <a:ln>
          <a:noFill/>
        </a:ln>
      </xdr:spPr>
    </xdr:pic>
    <xdr:clientData/>
  </xdr:twoCellAnchor>
  <xdr:twoCellAnchor>
    <xdr:from>
      <xdr:col>12</xdr:col>
      <xdr:colOff>481990</xdr:colOff>
      <xdr:row>183</xdr:row>
      <xdr:rowOff>20408</xdr:rowOff>
    </xdr:from>
    <xdr:to>
      <xdr:col>12</xdr:col>
      <xdr:colOff>913990</xdr:colOff>
      <xdr:row>183</xdr:row>
      <xdr:rowOff>442883</xdr:rowOff>
    </xdr:to>
    <xdr:pic>
      <xdr:nvPicPr>
        <xdr:cNvPr id="518" name="Picture 517">
          <a:extLst>
            <a:ext uri="{FF2B5EF4-FFF2-40B4-BE49-F238E27FC236}">
              <a16:creationId xmlns:a16="http://schemas.microsoft.com/office/drawing/2014/main" id="{7CC7DD36-E228-4B1F-BB92-D89050A303B8}"/>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8877597" y="65858569"/>
          <a:ext cx="432000" cy="422475"/>
        </a:xfrm>
        <a:prstGeom prst="rect">
          <a:avLst/>
        </a:prstGeom>
        <a:noFill/>
        <a:ln>
          <a:noFill/>
        </a:ln>
      </xdr:spPr>
    </xdr:pic>
    <xdr:clientData/>
  </xdr:twoCellAnchor>
  <xdr:twoCellAnchor>
    <xdr:from>
      <xdr:col>12</xdr:col>
      <xdr:colOff>476094</xdr:colOff>
      <xdr:row>185</xdr:row>
      <xdr:rowOff>18142</xdr:rowOff>
    </xdr:from>
    <xdr:to>
      <xdr:col>12</xdr:col>
      <xdr:colOff>908094</xdr:colOff>
      <xdr:row>185</xdr:row>
      <xdr:rowOff>440617</xdr:rowOff>
    </xdr:to>
    <xdr:pic>
      <xdr:nvPicPr>
        <xdr:cNvPr id="519" name="Picture 518" descr="safety vests">
          <a:extLst>
            <a:ext uri="{FF2B5EF4-FFF2-40B4-BE49-F238E27FC236}">
              <a16:creationId xmlns:a16="http://schemas.microsoft.com/office/drawing/2014/main" id="{56A0D258-68F3-4FB3-B55D-A40382C393EF}"/>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8871701" y="66767981"/>
          <a:ext cx="432000" cy="422475"/>
        </a:xfrm>
        <a:prstGeom prst="rect">
          <a:avLst/>
        </a:prstGeom>
        <a:noFill/>
        <a:ln>
          <a:noFill/>
        </a:ln>
      </xdr:spPr>
    </xdr:pic>
    <xdr:clientData/>
  </xdr:twoCellAnchor>
  <xdr:twoCellAnchor>
    <xdr:from>
      <xdr:col>12</xdr:col>
      <xdr:colOff>479048</xdr:colOff>
      <xdr:row>181</xdr:row>
      <xdr:rowOff>18541</xdr:rowOff>
    </xdr:from>
    <xdr:to>
      <xdr:col>12</xdr:col>
      <xdr:colOff>911048</xdr:colOff>
      <xdr:row>181</xdr:row>
      <xdr:rowOff>441016</xdr:rowOff>
    </xdr:to>
    <xdr:pic>
      <xdr:nvPicPr>
        <xdr:cNvPr id="520" name="Picture 519">
          <a:extLst>
            <a:ext uri="{FF2B5EF4-FFF2-40B4-BE49-F238E27FC236}">
              <a16:creationId xmlns:a16="http://schemas.microsoft.com/office/drawing/2014/main" id="{A3E332D4-E881-4110-ACE3-1BE6F7A9C822}"/>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74655" y="64945023"/>
          <a:ext cx="432000" cy="422475"/>
        </a:xfrm>
        <a:prstGeom prst="rect">
          <a:avLst/>
        </a:prstGeom>
        <a:noFill/>
      </xdr:spPr>
    </xdr:pic>
    <xdr:clientData/>
  </xdr:twoCellAnchor>
  <xdr:twoCellAnchor>
    <xdr:from>
      <xdr:col>12</xdr:col>
      <xdr:colOff>472691</xdr:colOff>
      <xdr:row>182</xdr:row>
      <xdr:rowOff>20410</xdr:rowOff>
    </xdr:from>
    <xdr:to>
      <xdr:col>12</xdr:col>
      <xdr:colOff>905440</xdr:colOff>
      <xdr:row>182</xdr:row>
      <xdr:rowOff>452410</xdr:rowOff>
    </xdr:to>
    <xdr:pic>
      <xdr:nvPicPr>
        <xdr:cNvPr id="521" name="Picture 520">
          <a:extLst>
            <a:ext uri="{FF2B5EF4-FFF2-40B4-BE49-F238E27FC236}">
              <a16:creationId xmlns:a16="http://schemas.microsoft.com/office/drawing/2014/main" id="{A8B8D000-DC0F-4606-B87A-70D0D8FD7659}"/>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868298" y="65402731"/>
          <a:ext cx="432749" cy="432000"/>
        </a:xfrm>
        <a:prstGeom prst="rect">
          <a:avLst/>
        </a:prstGeom>
      </xdr:spPr>
    </xdr:pic>
    <xdr:clientData/>
  </xdr:twoCellAnchor>
  <xdr:twoCellAnchor>
    <xdr:from>
      <xdr:col>12</xdr:col>
      <xdr:colOff>476250</xdr:colOff>
      <xdr:row>184</xdr:row>
      <xdr:rowOff>17010</xdr:rowOff>
    </xdr:from>
    <xdr:to>
      <xdr:col>12</xdr:col>
      <xdr:colOff>908250</xdr:colOff>
      <xdr:row>184</xdr:row>
      <xdr:rowOff>449010</xdr:rowOff>
    </xdr:to>
    <xdr:pic>
      <xdr:nvPicPr>
        <xdr:cNvPr id="522" name="Picture 521">
          <a:extLst>
            <a:ext uri="{FF2B5EF4-FFF2-40B4-BE49-F238E27FC236}">
              <a16:creationId xmlns:a16="http://schemas.microsoft.com/office/drawing/2014/main" id="{4E82986A-8787-4C4A-8D36-8EE2F7CA71CD}"/>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8871857" y="66311010"/>
          <a:ext cx="432000" cy="432000"/>
        </a:xfrm>
        <a:prstGeom prst="rect">
          <a:avLst/>
        </a:prstGeom>
      </xdr:spPr>
    </xdr:pic>
    <xdr:clientData/>
  </xdr:twoCellAnchor>
  <xdr:twoCellAnchor>
    <xdr:from>
      <xdr:col>12</xdr:col>
      <xdr:colOff>436563</xdr:colOff>
      <xdr:row>186</xdr:row>
      <xdr:rowOff>17008</xdr:rowOff>
    </xdr:from>
    <xdr:to>
      <xdr:col>12</xdr:col>
      <xdr:colOff>868563</xdr:colOff>
      <xdr:row>186</xdr:row>
      <xdr:rowOff>449008</xdr:rowOff>
    </xdr:to>
    <xdr:pic>
      <xdr:nvPicPr>
        <xdr:cNvPr id="523" name="Picture 522">
          <a:extLst>
            <a:ext uri="{FF2B5EF4-FFF2-40B4-BE49-F238E27FC236}">
              <a16:creationId xmlns:a16="http://schemas.microsoft.com/office/drawing/2014/main" id="{869CC0D9-9DD9-4AF7-B43B-530C08072659}"/>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8832170" y="77706990"/>
          <a:ext cx="432000" cy="432000"/>
        </a:xfrm>
        <a:prstGeom prst="rect">
          <a:avLst/>
        </a:prstGeom>
      </xdr:spPr>
    </xdr:pic>
    <xdr:clientData/>
  </xdr:twoCellAnchor>
  <xdr:twoCellAnchor>
    <xdr:from>
      <xdr:col>12</xdr:col>
      <xdr:colOff>443370</xdr:colOff>
      <xdr:row>187</xdr:row>
      <xdr:rowOff>17007</xdr:rowOff>
    </xdr:from>
    <xdr:to>
      <xdr:col>12</xdr:col>
      <xdr:colOff>875370</xdr:colOff>
      <xdr:row>187</xdr:row>
      <xdr:rowOff>449007</xdr:rowOff>
    </xdr:to>
    <xdr:pic>
      <xdr:nvPicPr>
        <xdr:cNvPr id="524" name="Picture 523">
          <a:extLst>
            <a:ext uri="{FF2B5EF4-FFF2-40B4-BE49-F238E27FC236}">
              <a16:creationId xmlns:a16="http://schemas.microsoft.com/office/drawing/2014/main" id="{6DB279B7-30BF-4CA5-9E86-7B3EDA3D5A1D}"/>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8838977" y="67678525"/>
          <a:ext cx="432000" cy="432000"/>
        </a:xfrm>
        <a:prstGeom prst="rect">
          <a:avLst/>
        </a:prstGeom>
        <a:noFill/>
      </xdr:spPr>
    </xdr:pic>
    <xdr:clientData/>
  </xdr:twoCellAnchor>
  <xdr:twoCellAnchor>
    <xdr:from>
      <xdr:col>12</xdr:col>
      <xdr:colOff>457020</xdr:colOff>
      <xdr:row>188</xdr:row>
      <xdr:rowOff>30345</xdr:rowOff>
    </xdr:from>
    <xdr:to>
      <xdr:col>12</xdr:col>
      <xdr:colOff>889020</xdr:colOff>
      <xdr:row>188</xdr:row>
      <xdr:rowOff>452820</xdr:rowOff>
    </xdr:to>
    <xdr:pic>
      <xdr:nvPicPr>
        <xdr:cNvPr id="525" name="Picture 524">
          <a:extLst>
            <a:ext uri="{FF2B5EF4-FFF2-40B4-BE49-F238E27FC236}">
              <a16:creationId xmlns:a16="http://schemas.microsoft.com/office/drawing/2014/main" id="{AF1C2B6A-64F0-4091-B3C5-82DA6437DE72}"/>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852627" y="68147702"/>
          <a:ext cx="432000" cy="422475"/>
        </a:xfrm>
        <a:prstGeom prst="rect">
          <a:avLst/>
        </a:prstGeom>
        <a:ln>
          <a:solidFill>
            <a:schemeClr val="tx1"/>
          </a:solidFill>
        </a:ln>
      </xdr:spPr>
    </xdr:pic>
    <xdr:clientData/>
  </xdr:twoCellAnchor>
  <xdr:twoCellAnchor>
    <xdr:from>
      <xdr:col>12</xdr:col>
      <xdr:colOff>447902</xdr:colOff>
      <xdr:row>173</xdr:row>
      <xdr:rowOff>17690</xdr:rowOff>
    </xdr:from>
    <xdr:to>
      <xdr:col>12</xdr:col>
      <xdr:colOff>879902</xdr:colOff>
      <xdr:row>173</xdr:row>
      <xdr:rowOff>439792</xdr:rowOff>
    </xdr:to>
    <xdr:pic>
      <xdr:nvPicPr>
        <xdr:cNvPr id="526" name="Picture 525">
          <a:extLst>
            <a:ext uri="{FF2B5EF4-FFF2-40B4-BE49-F238E27FC236}">
              <a16:creationId xmlns:a16="http://schemas.microsoft.com/office/drawing/2014/main" id="{B68AB783-F781-4866-B70C-2163B3B5EA02}"/>
            </a:ext>
          </a:extLst>
        </xdr:cNvPr>
        <xdr:cNvPicPr>
          <a:picLocks noChangeAspect="1"/>
        </xdr:cNvPicPr>
      </xdr:nvPicPr>
      <xdr:blipFill>
        <a:blip xmlns:r="http://schemas.openxmlformats.org/officeDocument/2006/relationships" r:embed="rId15"/>
        <a:stretch>
          <a:fillRect/>
        </a:stretch>
      </xdr:blipFill>
      <xdr:spPr>
        <a:xfrm>
          <a:off x="8843509" y="59474101"/>
          <a:ext cx="432000" cy="422102"/>
        </a:xfrm>
        <a:prstGeom prst="rect">
          <a:avLst/>
        </a:prstGeom>
      </xdr:spPr>
    </xdr:pic>
    <xdr:clientData/>
  </xdr:twoCellAnchor>
  <xdr:twoCellAnchor>
    <xdr:from>
      <xdr:col>12</xdr:col>
      <xdr:colOff>447902</xdr:colOff>
      <xdr:row>173</xdr:row>
      <xdr:rowOff>17690</xdr:rowOff>
    </xdr:from>
    <xdr:to>
      <xdr:col>12</xdr:col>
      <xdr:colOff>879902</xdr:colOff>
      <xdr:row>173</xdr:row>
      <xdr:rowOff>439792</xdr:rowOff>
    </xdr:to>
    <xdr:pic>
      <xdr:nvPicPr>
        <xdr:cNvPr id="527" name="Picture 526">
          <a:extLst>
            <a:ext uri="{FF2B5EF4-FFF2-40B4-BE49-F238E27FC236}">
              <a16:creationId xmlns:a16="http://schemas.microsoft.com/office/drawing/2014/main" id="{1CF345B2-AB7C-49C5-8B57-FC5529D9941C}"/>
            </a:ext>
          </a:extLst>
        </xdr:cNvPr>
        <xdr:cNvPicPr>
          <a:picLocks noChangeAspect="1"/>
        </xdr:cNvPicPr>
      </xdr:nvPicPr>
      <xdr:blipFill>
        <a:blip xmlns:r="http://schemas.openxmlformats.org/officeDocument/2006/relationships" r:embed="rId15"/>
        <a:stretch>
          <a:fillRect/>
        </a:stretch>
      </xdr:blipFill>
      <xdr:spPr>
        <a:xfrm>
          <a:off x="8843509" y="59474101"/>
          <a:ext cx="432000" cy="422102"/>
        </a:xfrm>
        <a:prstGeom prst="rect">
          <a:avLst/>
        </a:prstGeom>
      </xdr:spPr>
    </xdr:pic>
    <xdr:clientData/>
  </xdr:twoCellAnchor>
  <xdr:twoCellAnchor>
    <xdr:from>
      <xdr:col>12</xdr:col>
      <xdr:colOff>447901</xdr:colOff>
      <xdr:row>174</xdr:row>
      <xdr:rowOff>20411</xdr:rowOff>
    </xdr:from>
    <xdr:to>
      <xdr:col>12</xdr:col>
      <xdr:colOff>879901</xdr:colOff>
      <xdr:row>174</xdr:row>
      <xdr:rowOff>452038</xdr:rowOff>
    </xdr:to>
    <xdr:pic>
      <xdr:nvPicPr>
        <xdr:cNvPr id="528" name="Picture 527">
          <a:extLst>
            <a:ext uri="{FF2B5EF4-FFF2-40B4-BE49-F238E27FC236}">
              <a16:creationId xmlns:a16="http://schemas.microsoft.com/office/drawing/2014/main" id="{6615ED22-819B-49AC-AB16-EEFCF152B6A0}"/>
            </a:ext>
          </a:extLst>
        </xdr:cNvPr>
        <xdr:cNvPicPr>
          <a:picLocks noChangeAspect="1"/>
        </xdr:cNvPicPr>
      </xdr:nvPicPr>
      <xdr:blipFill>
        <a:blip xmlns:r="http://schemas.openxmlformats.org/officeDocument/2006/relationships" r:embed="rId15"/>
        <a:stretch>
          <a:fillRect/>
        </a:stretch>
      </xdr:blipFill>
      <xdr:spPr>
        <a:xfrm>
          <a:off x="8843508" y="59932661"/>
          <a:ext cx="432000" cy="431627"/>
        </a:xfrm>
        <a:prstGeom prst="rect">
          <a:avLst/>
        </a:prstGeom>
      </xdr:spPr>
    </xdr:pic>
    <xdr:clientData/>
  </xdr:twoCellAnchor>
  <xdr:twoCellAnchor>
    <xdr:from>
      <xdr:col>12</xdr:col>
      <xdr:colOff>442075</xdr:colOff>
      <xdr:row>176</xdr:row>
      <xdr:rowOff>12109</xdr:rowOff>
    </xdr:from>
    <xdr:to>
      <xdr:col>12</xdr:col>
      <xdr:colOff>874075</xdr:colOff>
      <xdr:row>176</xdr:row>
      <xdr:rowOff>444806</xdr:rowOff>
    </xdr:to>
    <xdr:pic>
      <xdr:nvPicPr>
        <xdr:cNvPr id="529" name="Picture 528">
          <a:extLst>
            <a:ext uri="{FF2B5EF4-FFF2-40B4-BE49-F238E27FC236}">
              <a16:creationId xmlns:a16="http://schemas.microsoft.com/office/drawing/2014/main" id="{E57B4135-1745-4D89-9D2D-1D5E005B2405}"/>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37682" y="60836038"/>
          <a:ext cx="432000" cy="432697"/>
        </a:xfrm>
        <a:prstGeom prst="rect">
          <a:avLst/>
        </a:prstGeom>
        <a:noFill/>
      </xdr:spPr>
    </xdr:pic>
    <xdr:clientData/>
  </xdr:twoCellAnchor>
  <xdr:twoCellAnchor>
    <xdr:from>
      <xdr:col>12</xdr:col>
      <xdr:colOff>419396</xdr:colOff>
      <xdr:row>177</xdr:row>
      <xdr:rowOff>34877</xdr:rowOff>
    </xdr:from>
    <xdr:to>
      <xdr:col>12</xdr:col>
      <xdr:colOff>851396</xdr:colOff>
      <xdr:row>178</xdr:row>
      <xdr:rowOff>1512</xdr:rowOff>
    </xdr:to>
    <xdr:pic>
      <xdr:nvPicPr>
        <xdr:cNvPr id="530" name="Picture 529">
          <a:extLst>
            <a:ext uri="{FF2B5EF4-FFF2-40B4-BE49-F238E27FC236}">
              <a16:creationId xmlns:a16="http://schemas.microsoft.com/office/drawing/2014/main" id="{3C07A63A-5332-434F-AA80-68B580A6992C}"/>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15003" y="61314645"/>
          <a:ext cx="432000" cy="422474"/>
        </a:xfrm>
        <a:prstGeom prst="rect">
          <a:avLst/>
        </a:prstGeom>
        <a:noFill/>
      </xdr:spPr>
    </xdr:pic>
    <xdr:clientData/>
  </xdr:twoCellAnchor>
  <xdr:twoCellAnchor>
    <xdr:from>
      <xdr:col>12</xdr:col>
      <xdr:colOff>445477</xdr:colOff>
      <xdr:row>175</xdr:row>
      <xdr:rowOff>22677</xdr:rowOff>
    </xdr:from>
    <xdr:to>
      <xdr:col>12</xdr:col>
      <xdr:colOff>877477</xdr:colOff>
      <xdr:row>175</xdr:row>
      <xdr:rowOff>445152</xdr:rowOff>
    </xdr:to>
    <xdr:pic>
      <xdr:nvPicPr>
        <xdr:cNvPr id="531" name="Picture 530">
          <a:extLst>
            <a:ext uri="{FF2B5EF4-FFF2-40B4-BE49-F238E27FC236}">
              <a16:creationId xmlns:a16="http://schemas.microsoft.com/office/drawing/2014/main" id="{E746503E-B0EF-4868-BF17-DE005A93F544}"/>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1084" y="60390766"/>
          <a:ext cx="432000" cy="422475"/>
        </a:xfrm>
        <a:prstGeom prst="rect">
          <a:avLst/>
        </a:prstGeom>
        <a:noFill/>
      </xdr:spPr>
    </xdr:pic>
    <xdr:clientData/>
  </xdr:twoCellAnchor>
  <xdr:twoCellAnchor>
    <xdr:from>
      <xdr:col>12</xdr:col>
      <xdr:colOff>442232</xdr:colOff>
      <xdr:row>178</xdr:row>
      <xdr:rowOff>15874</xdr:rowOff>
    </xdr:from>
    <xdr:to>
      <xdr:col>12</xdr:col>
      <xdr:colOff>874232</xdr:colOff>
      <xdr:row>178</xdr:row>
      <xdr:rowOff>447874</xdr:rowOff>
    </xdr:to>
    <xdr:pic>
      <xdr:nvPicPr>
        <xdr:cNvPr id="532" name="Picture 531">
          <a:extLst>
            <a:ext uri="{FF2B5EF4-FFF2-40B4-BE49-F238E27FC236}">
              <a16:creationId xmlns:a16="http://schemas.microsoft.com/office/drawing/2014/main" id="{67AE378C-7A45-4D94-BEC0-4B702DC57410}"/>
            </a:ext>
          </a:extLst>
        </xdr:cNvPr>
        <xdr:cNvPicPr>
          <a:picLocks noChangeAspect="1"/>
        </xdr:cNvPicPr>
      </xdr:nvPicPr>
      <xdr:blipFill>
        <a:blip xmlns:r="http://schemas.openxmlformats.org/officeDocument/2006/relationships" r:embed="rId19"/>
        <a:stretch>
          <a:fillRect/>
        </a:stretch>
      </xdr:blipFill>
      <xdr:spPr>
        <a:xfrm>
          <a:off x="8837839" y="61751481"/>
          <a:ext cx="432000" cy="432000"/>
        </a:xfrm>
        <a:prstGeom prst="rect">
          <a:avLst/>
        </a:prstGeom>
      </xdr:spPr>
    </xdr:pic>
    <xdr:clientData/>
  </xdr:twoCellAnchor>
  <xdr:twoCellAnchor>
    <xdr:from>
      <xdr:col>12</xdr:col>
      <xdr:colOff>450013</xdr:colOff>
      <xdr:row>179</xdr:row>
      <xdr:rowOff>21543</xdr:rowOff>
    </xdr:from>
    <xdr:to>
      <xdr:col>12</xdr:col>
      <xdr:colOff>882013</xdr:colOff>
      <xdr:row>179</xdr:row>
      <xdr:rowOff>453543</xdr:rowOff>
    </xdr:to>
    <xdr:pic>
      <xdr:nvPicPr>
        <xdr:cNvPr id="533" name="Picture 532" descr="hair protection">
          <a:extLst>
            <a:ext uri="{FF2B5EF4-FFF2-40B4-BE49-F238E27FC236}">
              <a16:creationId xmlns:a16="http://schemas.microsoft.com/office/drawing/2014/main" id="{61D89E50-346C-40BF-B308-F35BE02C0C79}"/>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5620" y="62212989"/>
          <a:ext cx="432000" cy="432000"/>
        </a:xfrm>
        <a:prstGeom prst="rect">
          <a:avLst/>
        </a:prstGeom>
        <a:noFill/>
        <a:ln>
          <a:noFill/>
        </a:ln>
      </xdr:spPr>
    </xdr:pic>
    <xdr:clientData/>
  </xdr:twoCellAnchor>
  <xdr:twoCellAnchor>
    <xdr:from>
      <xdr:col>9</xdr:col>
      <xdr:colOff>423181</xdr:colOff>
      <xdr:row>180</xdr:row>
      <xdr:rowOff>17237</xdr:rowOff>
    </xdr:from>
    <xdr:to>
      <xdr:col>9</xdr:col>
      <xdr:colOff>855181</xdr:colOff>
      <xdr:row>180</xdr:row>
      <xdr:rowOff>439712</xdr:rowOff>
    </xdr:to>
    <xdr:pic>
      <xdr:nvPicPr>
        <xdr:cNvPr id="536" name="Picture 535">
          <a:extLst>
            <a:ext uri="{FF2B5EF4-FFF2-40B4-BE49-F238E27FC236}">
              <a16:creationId xmlns:a16="http://schemas.microsoft.com/office/drawing/2014/main" id="{9215ED9E-8D70-4D9C-94B1-050FF3198A78}"/>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72237148"/>
          <a:ext cx="432000" cy="422475"/>
        </a:xfrm>
        <a:prstGeom prst="rect">
          <a:avLst/>
        </a:prstGeom>
      </xdr:spPr>
    </xdr:pic>
    <xdr:clientData/>
  </xdr:twoCellAnchor>
  <xdr:twoCellAnchor>
    <xdr:from>
      <xdr:col>9</xdr:col>
      <xdr:colOff>423181</xdr:colOff>
      <xdr:row>181</xdr:row>
      <xdr:rowOff>17237</xdr:rowOff>
    </xdr:from>
    <xdr:to>
      <xdr:col>9</xdr:col>
      <xdr:colOff>855181</xdr:colOff>
      <xdr:row>181</xdr:row>
      <xdr:rowOff>439712</xdr:rowOff>
    </xdr:to>
    <xdr:pic>
      <xdr:nvPicPr>
        <xdr:cNvPr id="537" name="Picture 536">
          <a:extLst>
            <a:ext uri="{FF2B5EF4-FFF2-40B4-BE49-F238E27FC236}">
              <a16:creationId xmlns:a16="http://schemas.microsoft.com/office/drawing/2014/main" id="{6BE163A0-F081-4760-B0E2-17B8D2D42B80}"/>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72237148"/>
          <a:ext cx="432000" cy="422475"/>
        </a:xfrm>
        <a:prstGeom prst="rect">
          <a:avLst/>
        </a:prstGeom>
      </xdr:spPr>
    </xdr:pic>
    <xdr:clientData/>
  </xdr:twoCellAnchor>
  <xdr:twoCellAnchor>
    <xdr:from>
      <xdr:col>9</xdr:col>
      <xdr:colOff>423181</xdr:colOff>
      <xdr:row>182</xdr:row>
      <xdr:rowOff>17237</xdr:rowOff>
    </xdr:from>
    <xdr:to>
      <xdr:col>9</xdr:col>
      <xdr:colOff>855181</xdr:colOff>
      <xdr:row>182</xdr:row>
      <xdr:rowOff>439712</xdr:rowOff>
    </xdr:to>
    <xdr:pic>
      <xdr:nvPicPr>
        <xdr:cNvPr id="538" name="Picture 537">
          <a:extLst>
            <a:ext uri="{FF2B5EF4-FFF2-40B4-BE49-F238E27FC236}">
              <a16:creationId xmlns:a16="http://schemas.microsoft.com/office/drawing/2014/main" id="{20F9D5D4-07B3-4193-849D-D3DFE017F919}"/>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72237148"/>
          <a:ext cx="432000" cy="422475"/>
        </a:xfrm>
        <a:prstGeom prst="rect">
          <a:avLst/>
        </a:prstGeom>
      </xdr:spPr>
    </xdr:pic>
    <xdr:clientData/>
  </xdr:twoCellAnchor>
  <xdr:twoCellAnchor>
    <xdr:from>
      <xdr:col>9</xdr:col>
      <xdr:colOff>423181</xdr:colOff>
      <xdr:row>183</xdr:row>
      <xdr:rowOff>17237</xdr:rowOff>
    </xdr:from>
    <xdr:to>
      <xdr:col>9</xdr:col>
      <xdr:colOff>855181</xdr:colOff>
      <xdr:row>183</xdr:row>
      <xdr:rowOff>439712</xdr:rowOff>
    </xdr:to>
    <xdr:pic>
      <xdr:nvPicPr>
        <xdr:cNvPr id="539" name="Picture 538">
          <a:extLst>
            <a:ext uri="{FF2B5EF4-FFF2-40B4-BE49-F238E27FC236}">
              <a16:creationId xmlns:a16="http://schemas.microsoft.com/office/drawing/2014/main" id="{45C5607D-FD50-4BD0-8BB5-DB6E06D2F2A2}"/>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72237148"/>
          <a:ext cx="432000" cy="422475"/>
        </a:xfrm>
        <a:prstGeom prst="rect">
          <a:avLst/>
        </a:prstGeom>
      </xdr:spPr>
    </xdr:pic>
    <xdr:clientData/>
  </xdr:twoCellAnchor>
  <xdr:twoCellAnchor>
    <xdr:from>
      <xdr:col>9</xdr:col>
      <xdr:colOff>423181</xdr:colOff>
      <xdr:row>184</xdr:row>
      <xdr:rowOff>17237</xdr:rowOff>
    </xdr:from>
    <xdr:to>
      <xdr:col>9</xdr:col>
      <xdr:colOff>855181</xdr:colOff>
      <xdr:row>184</xdr:row>
      <xdr:rowOff>439712</xdr:rowOff>
    </xdr:to>
    <xdr:pic>
      <xdr:nvPicPr>
        <xdr:cNvPr id="540" name="Picture 539">
          <a:extLst>
            <a:ext uri="{FF2B5EF4-FFF2-40B4-BE49-F238E27FC236}">
              <a16:creationId xmlns:a16="http://schemas.microsoft.com/office/drawing/2014/main" id="{0BC15B3B-C593-4F5B-B2E9-1B6624DD5ED9}"/>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72237148"/>
          <a:ext cx="432000" cy="422475"/>
        </a:xfrm>
        <a:prstGeom prst="rect">
          <a:avLst/>
        </a:prstGeom>
      </xdr:spPr>
    </xdr:pic>
    <xdr:clientData/>
  </xdr:twoCellAnchor>
  <xdr:twoCellAnchor>
    <xdr:from>
      <xdr:col>9</xdr:col>
      <xdr:colOff>423181</xdr:colOff>
      <xdr:row>185</xdr:row>
      <xdr:rowOff>17237</xdr:rowOff>
    </xdr:from>
    <xdr:to>
      <xdr:col>9</xdr:col>
      <xdr:colOff>855181</xdr:colOff>
      <xdr:row>185</xdr:row>
      <xdr:rowOff>439712</xdr:rowOff>
    </xdr:to>
    <xdr:pic>
      <xdr:nvPicPr>
        <xdr:cNvPr id="541" name="Picture 540">
          <a:extLst>
            <a:ext uri="{FF2B5EF4-FFF2-40B4-BE49-F238E27FC236}">
              <a16:creationId xmlns:a16="http://schemas.microsoft.com/office/drawing/2014/main" id="{80FEA1CF-BCDB-4AC4-A0F0-1F7366789E6D}"/>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72237148"/>
          <a:ext cx="432000" cy="422475"/>
        </a:xfrm>
        <a:prstGeom prst="rect">
          <a:avLst/>
        </a:prstGeom>
      </xdr:spPr>
    </xdr:pic>
    <xdr:clientData/>
  </xdr:twoCellAnchor>
  <xdr:twoCellAnchor>
    <xdr:from>
      <xdr:col>9</xdr:col>
      <xdr:colOff>423181</xdr:colOff>
      <xdr:row>186</xdr:row>
      <xdr:rowOff>17237</xdr:rowOff>
    </xdr:from>
    <xdr:to>
      <xdr:col>9</xdr:col>
      <xdr:colOff>855181</xdr:colOff>
      <xdr:row>186</xdr:row>
      <xdr:rowOff>439712</xdr:rowOff>
    </xdr:to>
    <xdr:pic>
      <xdr:nvPicPr>
        <xdr:cNvPr id="542" name="Picture 541">
          <a:extLst>
            <a:ext uri="{FF2B5EF4-FFF2-40B4-BE49-F238E27FC236}">
              <a16:creationId xmlns:a16="http://schemas.microsoft.com/office/drawing/2014/main" id="{F24B5406-B81D-466A-A32B-7598C0A93BE0}"/>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72237148"/>
          <a:ext cx="432000" cy="422475"/>
        </a:xfrm>
        <a:prstGeom prst="rect">
          <a:avLst/>
        </a:prstGeom>
      </xdr:spPr>
    </xdr:pic>
    <xdr:clientData/>
  </xdr:twoCellAnchor>
  <xdr:twoCellAnchor>
    <xdr:from>
      <xdr:col>9</xdr:col>
      <xdr:colOff>423181</xdr:colOff>
      <xdr:row>187</xdr:row>
      <xdr:rowOff>17237</xdr:rowOff>
    </xdr:from>
    <xdr:to>
      <xdr:col>9</xdr:col>
      <xdr:colOff>855181</xdr:colOff>
      <xdr:row>187</xdr:row>
      <xdr:rowOff>439712</xdr:rowOff>
    </xdr:to>
    <xdr:pic>
      <xdr:nvPicPr>
        <xdr:cNvPr id="543" name="Picture 542">
          <a:extLst>
            <a:ext uri="{FF2B5EF4-FFF2-40B4-BE49-F238E27FC236}">
              <a16:creationId xmlns:a16="http://schemas.microsoft.com/office/drawing/2014/main" id="{6915816C-44E7-4A59-A9D0-49AF8A1435B2}"/>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72237148"/>
          <a:ext cx="432000" cy="422475"/>
        </a:xfrm>
        <a:prstGeom prst="rect">
          <a:avLst/>
        </a:prstGeom>
      </xdr:spPr>
    </xdr:pic>
    <xdr:clientData/>
  </xdr:twoCellAnchor>
  <xdr:twoCellAnchor>
    <xdr:from>
      <xdr:col>9</xdr:col>
      <xdr:colOff>423181</xdr:colOff>
      <xdr:row>188</xdr:row>
      <xdr:rowOff>17237</xdr:rowOff>
    </xdr:from>
    <xdr:to>
      <xdr:col>9</xdr:col>
      <xdr:colOff>855181</xdr:colOff>
      <xdr:row>188</xdr:row>
      <xdr:rowOff>439712</xdr:rowOff>
    </xdr:to>
    <xdr:pic>
      <xdr:nvPicPr>
        <xdr:cNvPr id="544" name="Picture 543">
          <a:extLst>
            <a:ext uri="{FF2B5EF4-FFF2-40B4-BE49-F238E27FC236}">
              <a16:creationId xmlns:a16="http://schemas.microsoft.com/office/drawing/2014/main" id="{200AA230-90C1-469D-A7CB-91FC4538E9CF}"/>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777592" y="72237148"/>
          <a:ext cx="432000" cy="422475"/>
        </a:xfrm>
        <a:prstGeom prst="rect">
          <a:avLst/>
        </a:prstGeom>
      </xdr:spPr>
    </xdr:pic>
    <xdr:clientData/>
  </xdr:twoCellAnchor>
  <xdr:twoCellAnchor>
    <xdr:from>
      <xdr:col>12</xdr:col>
      <xdr:colOff>447901</xdr:colOff>
      <xdr:row>194</xdr:row>
      <xdr:rowOff>20411</xdr:rowOff>
    </xdr:from>
    <xdr:to>
      <xdr:col>12</xdr:col>
      <xdr:colOff>879901</xdr:colOff>
      <xdr:row>194</xdr:row>
      <xdr:rowOff>452038</xdr:rowOff>
    </xdr:to>
    <xdr:pic>
      <xdr:nvPicPr>
        <xdr:cNvPr id="545" name="Picture 544">
          <a:extLst>
            <a:ext uri="{FF2B5EF4-FFF2-40B4-BE49-F238E27FC236}">
              <a16:creationId xmlns:a16="http://schemas.microsoft.com/office/drawing/2014/main" id="{233E7FD1-4D23-4864-A7A6-9F1D7146C899}"/>
            </a:ext>
          </a:extLst>
        </xdr:cNvPr>
        <xdr:cNvPicPr>
          <a:picLocks noChangeAspect="1"/>
        </xdr:cNvPicPr>
      </xdr:nvPicPr>
      <xdr:blipFill>
        <a:blip xmlns:r="http://schemas.openxmlformats.org/officeDocument/2006/relationships" r:embed="rId15"/>
        <a:stretch>
          <a:fillRect/>
        </a:stretch>
      </xdr:blipFill>
      <xdr:spPr>
        <a:xfrm>
          <a:off x="8843508" y="70872804"/>
          <a:ext cx="432000" cy="431627"/>
        </a:xfrm>
        <a:prstGeom prst="rect">
          <a:avLst/>
        </a:prstGeom>
      </xdr:spPr>
    </xdr:pic>
    <xdr:clientData/>
  </xdr:twoCellAnchor>
  <xdr:twoCellAnchor>
    <xdr:from>
      <xdr:col>12</xdr:col>
      <xdr:colOff>445477</xdr:colOff>
      <xdr:row>195</xdr:row>
      <xdr:rowOff>22677</xdr:rowOff>
    </xdr:from>
    <xdr:to>
      <xdr:col>12</xdr:col>
      <xdr:colOff>877477</xdr:colOff>
      <xdr:row>195</xdr:row>
      <xdr:rowOff>445152</xdr:rowOff>
    </xdr:to>
    <xdr:pic>
      <xdr:nvPicPr>
        <xdr:cNvPr id="548" name="Picture 547">
          <a:extLst>
            <a:ext uri="{FF2B5EF4-FFF2-40B4-BE49-F238E27FC236}">
              <a16:creationId xmlns:a16="http://schemas.microsoft.com/office/drawing/2014/main" id="{F828FBDC-6981-4EE3-84E4-356EA07290D6}"/>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1084" y="71330909"/>
          <a:ext cx="432000" cy="422475"/>
        </a:xfrm>
        <a:prstGeom prst="rect">
          <a:avLst/>
        </a:prstGeom>
        <a:noFill/>
      </xdr:spPr>
    </xdr:pic>
    <xdr:clientData/>
  </xdr:twoCellAnchor>
  <xdr:twoCellAnchor>
    <xdr:from>
      <xdr:col>12</xdr:col>
      <xdr:colOff>450013</xdr:colOff>
      <xdr:row>196</xdr:row>
      <xdr:rowOff>0</xdr:rowOff>
    </xdr:from>
    <xdr:to>
      <xdr:col>12</xdr:col>
      <xdr:colOff>882013</xdr:colOff>
      <xdr:row>196</xdr:row>
      <xdr:rowOff>0</xdr:rowOff>
    </xdr:to>
    <xdr:pic>
      <xdr:nvPicPr>
        <xdr:cNvPr id="550" name="Picture 549" descr="hair protection">
          <a:extLst>
            <a:ext uri="{FF2B5EF4-FFF2-40B4-BE49-F238E27FC236}">
              <a16:creationId xmlns:a16="http://schemas.microsoft.com/office/drawing/2014/main" id="{332AF8AB-691F-41E5-94BD-DE8E6C656749}"/>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5620" y="73153132"/>
          <a:ext cx="432000" cy="432000"/>
        </a:xfrm>
        <a:prstGeom prst="rect">
          <a:avLst/>
        </a:prstGeom>
        <a:noFill/>
        <a:ln>
          <a:noFill/>
        </a:ln>
      </xdr:spPr>
    </xdr:pic>
    <xdr:clientData/>
  </xdr:twoCellAnchor>
  <xdr:twoCellAnchor>
    <xdr:from>
      <xdr:col>12</xdr:col>
      <xdr:colOff>430735</xdr:colOff>
      <xdr:row>196</xdr:row>
      <xdr:rowOff>23811</xdr:rowOff>
    </xdr:from>
    <xdr:to>
      <xdr:col>12</xdr:col>
      <xdr:colOff>862735</xdr:colOff>
      <xdr:row>196</xdr:row>
      <xdr:rowOff>446286</xdr:rowOff>
    </xdr:to>
    <xdr:pic>
      <xdr:nvPicPr>
        <xdr:cNvPr id="551" name="Picture 550" descr="head protection">
          <a:extLst>
            <a:ext uri="{FF2B5EF4-FFF2-40B4-BE49-F238E27FC236}">
              <a16:creationId xmlns:a16="http://schemas.microsoft.com/office/drawing/2014/main" id="{457F35D3-3BBC-4698-B8FD-59A56E06BF19}"/>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26342" y="73611240"/>
          <a:ext cx="432000" cy="422475"/>
        </a:xfrm>
        <a:prstGeom prst="rect">
          <a:avLst/>
        </a:prstGeom>
        <a:noFill/>
        <a:ln>
          <a:noFill/>
        </a:ln>
      </xdr:spPr>
    </xdr:pic>
    <xdr:clientData/>
  </xdr:twoCellAnchor>
  <xdr:twoCellAnchor>
    <xdr:from>
      <xdr:col>12</xdr:col>
      <xdr:colOff>481990</xdr:colOff>
      <xdr:row>199</xdr:row>
      <xdr:rowOff>20408</xdr:rowOff>
    </xdr:from>
    <xdr:to>
      <xdr:col>12</xdr:col>
      <xdr:colOff>913990</xdr:colOff>
      <xdr:row>199</xdr:row>
      <xdr:rowOff>442883</xdr:rowOff>
    </xdr:to>
    <xdr:pic>
      <xdr:nvPicPr>
        <xdr:cNvPr id="552" name="Picture 551">
          <a:extLst>
            <a:ext uri="{FF2B5EF4-FFF2-40B4-BE49-F238E27FC236}">
              <a16:creationId xmlns:a16="http://schemas.microsoft.com/office/drawing/2014/main" id="{C4338448-D0B3-4FC8-887F-925449D03C3C}"/>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8877597" y="74975354"/>
          <a:ext cx="432000" cy="422475"/>
        </a:xfrm>
        <a:prstGeom prst="rect">
          <a:avLst/>
        </a:prstGeom>
        <a:noFill/>
        <a:ln>
          <a:noFill/>
        </a:ln>
      </xdr:spPr>
    </xdr:pic>
    <xdr:clientData/>
  </xdr:twoCellAnchor>
  <xdr:twoCellAnchor>
    <xdr:from>
      <xdr:col>12</xdr:col>
      <xdr:colOff>476094</xdr:colOff>
      <xdr:row>201</xdr:row>
      <xdr:rowOff>18142</xdr:rowOff>
    </xdr:from>
    <xdr:to>
      <xdr:col>12</xdr:col>
      <xdr:colOff>908094</xdr:colOff>
      <xdr:row>201</xdr:row>
      <xdr:rowOff>440617</xdr:rowOff>
    </xdr:to>
    <xdr:pic>
      <xdr:nvPicPr>
        <xdr:cNvPr id="553" name="Picture 552" descr="safety vests">
          <a:extLst>
            <a:ext uri="{FF2B5EF4-FFF2-40B4-BE49-F238E27FC236}">
              <a16:creationId xmlns:a16="http://schemas.microsoft.com/office/drawing/2014/main" id="{05C927BE-9C1F-4219-9A43-513B63155265}"/>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8871701" y="75884767"/>
          <a:ext cx="432000" cy="422475"/>
        </a:xfrm>
        <a:prstGeom prst="rect">
          <a:avLst/>
        </a:prstGeom>
        <a:noFill/>
        <a:ln>
          <a:noFill/>
        </a:ln>
      </xdr:spPr>
    </xdr:pic>
    <xdr:clientData/>
  </xdr:twoCellAnchor>
  <xdr:twoCellAnchor>
    <xdr:from>
      <xdr:col>12</xdr:col>
      <xdr:colOff>479048</xdr:colOff>
      <xdr:row>197</xdr:row>
      <xdr:rowOff>18541</xdr:rowOff>
    </xdr:from>
    <xdr:to>
      <xdr:col>12</xdr:col>
      <xdr:colOff>911048</xdr:colOff>
      <xdr:row>197</xdr:row>
      <xdr:rowOff>441016</xdr:rowOff>
    </xdr:to>
    <xdr:pic>
      <xdr:nvPicPr>
        <xdr:cNvPr id="554" name="Picture 553">
          <a:extLst>
            <a:ext uri="{FF2B5EF4-FFF2-40B4-BE49-F238E27FC236}">
              <a16:creationId xmlns:a16="http://schemas.microsoft.com/office/drawing/2014/main" id="{4A9C0A55-1E85-4AD3-B1A3-7CCB8DA5B2AA}"/>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74655" y="74061809"/>
          <a:ext cx="432000" cy="422475"/>
        </a:xfrm>
        <a:prstGeom prst="rect">
          <a:avLst/>
        </a:prstGeom>
        <a:noFill/>
      </xdr:spPr>
    </xdr:pic>
    <xdr:clientData/>
  </xdr:twoCellAnchor>
  <xdr:twoCellAnchor>
    <xdr:from>
      <xdr:col>12</xdr:col>
      <xdr:colOff>472691</xdr:colOff>
      <xdr:row>198</xdr:row>
      <xdr:rowOff>20410</xdr:rowOff>
    </xdr:from>
    <xdr:to>
      <xdr:col>12</xdr:col>
      <xdr:colOff>905440</xdr:colOff>
      <xdr:row>198</xdr:row>
      <xdr:rowOff>452410</xdr:rowOff>
    </xdr:to>
    <xdr:pic>
      <xdr:nvPicPr>
        <xdr:cNvPr id="555" name="Picture 554">
          <a:extLst>
            <a:ext uri="{FF2B5EF4-FFF2-40B4-BE49-F238E27FC236}">
              <a16:creationId xmlns:a16="http://schemas.microsoft.com/office/drawing/2014/main" id="{87390A23-C8DF-45A7-8ECE-E0D65E0FA75B}"/>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868298" y="74519517"/>
          <a:ext cx="432749" cy="432000"/>
        </a:xfrm>
        <a:prstGeom prst="rect">
          <a:avLst/>
        </a:prstGeom>
      </xdr:spPr>
    </xdr:pic>
    <xdr:clientData/>
  </xdr:twoCellAnchor>
  <xdr:twoCellAnchor>
    <xdr:from>
      <xdr:col>12</xdr:col>
      <xdr:colOff>476250</xdr:colOff>
      <xdr:row>200</xdr:row>
      <xdr:rowOff>17010</xdr:rowOff>
    </xdr:from>
    <xdr:to>
      <xdr:col>12</xdr:col>
      <xdr:colOff>908250</xdr:colOff>
      <xdr:row>200</xdr:row>
      <xdr:rowOff>449010</xdr:rowOff>
    </xdr:to>
    <xdr:pic>
      <xdr:nvPicPr>
        <xdr:cNvPr id="556" name="Picture 555">
          <a:extLst>
            <a:ext uri="{FF2B5EF4-FFF2-40B4-BE49-F238E27FC236}">
              <a16:creationId xmlns:a16="http://schemas.microsoft.com/office/drawing/2014/main" id="{8EF81611-9D28-47F4-BB59-5CF974E26D66}"/>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8871857" y="75427796"/>
          <a:ext cx="432000" cy="432000"/>
        </a:xfrm>
        <a:prstGeom prst="rect">
          <a:avLst/>
        </a:prstGeom>
      </xdr:spPr>
    </xdr:pic>
    <xdr:clientData/>
  </xdr:twoCellAnchor>
  <xdr:twoCellAnchor>
    <xdr:from>
      <xdr:col>12</xdr:col>
      <xdr:colOff>436563</xdr:colOff>
      <xdr:row>202</xdr:row>
      <xdr:rowOff>17008</xdr:rowOff>
    </xdr:from>
    <xdr:to>
      <xdr:col>12</xdr:col>
      <xdr:colOff>868563</xdr:colOff>
      <xdr:row>202</xdr:row>
      <xdr:rowOff>449008</xdr:rowOff>
    </xdr:to>
    <xdr:pic>
      <xdr:nvPicPr>
        <xdr:cNvPr id="557" name="Picture 556">
          <a:extLst>
            <a:ext uri="{FF2B5EF4-FFF2-40B4-BE49-F238E27FC236}">
              <a16:creationId xmlns:a16="http://schemas.microsoft.com/office/drawing/2014/main" id="{1B514233-9D3F-4B02-97EB-C4CED3AFEA43}"/>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8832170" y="76339472"/>
          <a:ext cx="432000" cy="432000"/>
        </a:xfrm>
        <a:prstGeom prst="rect">
          <a:avLst/>
        </a:prstGeom>
      </xdr:spPr>
    </xdr:pic>
    <xdr:clientData/>
  </xdr:twoCellAnchor>
  <xdr:twoCellAnchor>
    <xdr:from>
      <xdr:col>12</xdr:col>
      <xdr:colOff>443370</xdr:colOff>
      <xdr:row>203</xdr:row>
      <xdr:rowOff>17007</xdr:rowOff>
    </xdr:from>
    <xdr:to>
      <xdr:col>12</xdr:col>
      <xdr:colOff>875370</xdr:colOff>
      <xdr:row>203</xdr:row>
      <xdr:rowOff>449007</xdr:rowOff>
    </xdr:to>
    <xdr:pic>
      <xdr:nvPicPr>
        <xdr:cNvPr id="558" name="Picture 557">
          <a:extLst>
            <a:ext uri="{FF2B5EF4-FFF2-40B4-BE49-F238E27FC236}">
              <a16:creationId xmlns:a16="http://schemas.microsoft.com/office/drawing/2014/main" id="{85764775-961C-49A5-B225-04FB4AF79FEB}"/>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8838977" y="76795311"/>
          <a:ext cx="432000" cy="432000"/>
        </a:xfrm>
        <a:prstGeom prst="rect">
          <a:avLst/>
        </a:prstGeom>
        <a:noFill/>
      </xdr:spPr>
    </xdr:pic>
    <xdr:clientData/>
  </xdr:twoCellAnchor>
  <xdr:twoCellAnchor>
    <xdr:from>
      <xdr:col>12</xdr:col>
      <xdr:colOff>457020</xdr:colOff>
      <xdr:row>204</xdr:row>
      <xdr:rowOff>30345</xdr:rowOff>
    </xdr:from>
    <xdr:to>
      <xdr:col>12</xdr:col>
      <xdr:colOff>889020</xdr:colOff>
      <xdr:row>204</xdr:row>
      <xdr:rowOff>452820</xdr:rowOff>
    </xdr:to>
    <xdr:pic>
      <xdr:nvPicPr>
        <xdr:cNvPr id="559" name="Picture 558">
          <a:extLst>
            <a:ext uri="{FF2B5EF4-FFF2-40B4-BE49-F238E27FC236}">
              <a16:creationId xmlns:a16="http://schemas.microsoft.com/office/drawing/2014/main" id="{BBBCAB48-2EEB-477C-B7A9-10D3B9A4F5CD}"/>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852627" y="77264488"/>
          <a:ext cx="432000" cy="422475"/>
        </a:xfrm>
        <a:prstGeom prst="rect">
          <a:avLst/>
        </a:prstGeom>
        <a:ln>
          <a:solidFill>
            <a:schemeClr val="tx1"/>
          </a:solidFill>
        </a:ln>
      </xdr:spPr>
    </xdr:pic>
    <xdr:clientData/>
  </xdr:twoCellAnchor>
  <xdr:twoCellAnchor>
    <xdr:from>
      <xdr:col>12</xdr:col>
      <xdr:colOff>447902</xdr:colOff>
      <xdr:row>189</xdr:row>
      <xdr:rowOff>17690</xdr:rowOff>
    </xdr:from>
    <xdr:to>
      <xdr:col>12</xdr:col>
      <xdr:colOff>879902</xdr:colOff>
      <xdr:row>189</xdr:row>
      <xdr:rowOff>439792</xdr:rowOff>
    </xdr:to>
    <xdr:pic>
      <xdr:nvPicPr>
        <xdr:cNvPr id="560" name="Picture 559">
          <a:extLst>
            <a:ext uri="{FF2B5EF4-FFF2-40B4-BE49-F238E27FC236}">
              <a16:creationId xmlns:a16="http://schemas.microsoft.com/office/drawing/2014/main" id="{542ED6E2-5F96-4EE5-8116-0791B0FDF883}"/>
            </a:ext>
          </a:extLst>
        </xdr:cNvPr>
        <xdr:cNvPicPr>
          <a:picLocks noChangeAspect="1"/>
        </xdr:cNvPicPr>
      </xdr:nvPicPr>
      <xdr:blipFill>
        <a:blip xmlns:r="http://schemas.openxmlformats.org/officeDocument/2006/relationships" r:embed="rId15"/>
        <a:stretch>
          <a:fillRect/>
        </a:stretch>
      </xdr:blipFill>
      <xdr:spPr>
        <a:xfrm>
          <a:off x="8843509" y="68590886"/>
          <a:ext cx="432000" cy="422102"/>
        </a:xfrm>
        <a:prstGeom prst="rect">
          <a:avLst/>
        </a:prstGeom>
      </xdr:spPr>
    </xdr:pic>
    <xdr:clientData/>
  </xdr:twoCellAnchor>
  <xdr:twoCellAnchor>
    <xdr:from>
      <xdr:col>12</xdr:col>
      <xdr:colOff>447902</xdr:colOff>
      <xdr:row>189</xdr:row>
      <xdr:rowOff>17690</xdr:rowOff>
    </xdr:from>
    <xdr:to>
      <xdr:col>12</xdr:col>
      <xdr:colOff>879902</xdr:colOff>
      <xdr:row>189</xdr:row>
      <xdr:rowOff>439792</xdr:rowOff>
    </xdr:to>
    <xdr:pic>
      <xdr:nvPicPr>
        <xdr:cNvPr id="561" name="Picture 560">
          <a:extLst>
            <a:ext uri="{FF2B5EF4-FFF2-40B4-BE49-F238E27FC236}">
              <a16:creationId xmlns:a16="http://schemas.microsoft.com/office/drawing/2014/main" id="{B75CE925-BC64-4FC2-A5E6-EE73FB6B95AC}"/>
            </a:ext>
          </a:extLst>
        </xdr:cNvPr>
        <xdr:cNvPicPr>
          <a:picLocks noChangeAspect="1"/>
        </xdr:cNvPicPr>
      </xdr:nvPicPr>
      <xdr:blipFill>
        <a:blip xmlns:r="http://schemas.openxmlformats.org/officeDocument/2006/relationships" r:embed="rId15"/>
        <a:stretch>
          <a:fillRect/>
        </a:stretch>
      </xdr:blipFill>
      <xdr:spPr>
        <a:xfrm>
          <a:off x="8843509" y="68590886"/>
          <a:ext cx="432000" cy="422102"/>
        </a:xfrm>
        <a:prstGeom prst="rect">
          <a:avLst/>
        </a:prstGeom>
      </xdr:spPr>
    </xdr:pic>
    <xdr:clientData/>
  </xdr:twoCellAnchor>
  <xdr:twoCellAnchor>
    <xdr:from>
      <xdr:col>12</xdr:col>
      <xdr:colOff>447901</xdr:colOff>
      <xdr:row>190</xdr:row>
      <xdr:rowOff>20411</xdr:rowOff>
    </xdr:from>
    <xdr:to>
      <xdr:col>12</xdr:col>
      <xdr:colOff>879901</xdr:colOff>
      <xdr:row>190</xdr:row>
      <xdr:rowOff>452038</xdr:rowOff>
    </xdr:to>
    <xdr:pic>
      <xdr:nvPicPr>
        <xdr:cNvPr id="562" name="Picture 561">
          <a:extLst>
            <a:ext uri="{FF2B5EF4-FFF2-40B4-BE49-F238E27FC236}">
              <a16:creationId xmlns:a16="http://schemas.microsoft.com/office/drawing/2014/main" id="{C1DA17C5-C03F-4E1D-957A-A17B486EF880}"/>
            </a:ext>
          </a:extLst>
        </xdr:cNvPr>
        <xdr:cNvPicPr>
          <a:picLocks noChangeAspect="1"/>
        </xdr:cNvPicPr>
      </xdr:nvPicPr>
      <xdr:blipFill>
        <a:blip xmlns:r="http://schemas.openxmlformats.org/officeDocument/2006/relationships" r:embed="rId15"/>
        <a:stretch>
          <a:fillRect/>
        </a:stretch>
      </xdr:blipFill>
      <xdr:spPr>
        <a:xfrm>
          <a:off x="8843508" y="69049447"/>
          <a:ext cx="432000" cy="431627"/>
        </a:xfrm>
        <a:prstGeom prst="rect">
          <a:avLst/>
        </a:prstGeom>
      </xdr:spPr>
    </xdr:pic>
    <xdr:clientData/>
  </xdr:twoCellAnchor>
  <xdr:twoCellAnchor>
    <xdr:from>
      <xdr:col>12</xdr:col>
      <xdr:colOff>442075</xdr:colOff>
      <xdr:row>192</xdr:row>
      <xdr:rowOff>12109</xdr:rowOff>
    </xdr:from>
    <xdr:to>
      <xdr:col>12</xdr:col>
      <xdr:colOff>874075</xdr:colOff>
      <xdr:row>192</xdr:row>
      <xdr:rowOff>444806</xdr:rowOff>
    </xdr:to>
    <xdr:pic>
      <xdr:nvPicPr>
        <xdr:cNvPr id="563" name="Picture 562">
          <a:extLst>
            <a:ext uri="{FF2B5EF4-FFF2-40B4-BE49-F238E27FC236}">
              <a16:creationId xmlns:a16="http://schemas.microsoft.com/office/drawing/2014/main" id="{99E2D90A-D2B4-4446-90F5-BB836D78CC61}"/>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37682" y="69952823"/>
          <a:ext cx="432000" cy="432697"/>
        </a:xfrm>
        <a:prstGeom prst="rect">
          <a:avLst/>
        </a:prstGeom>
        <a:noFill/>
      </xdr:spPr>
    </xdr:pic>
    <xdr:clientData/>
  </xdr:twoCellAnchor>
  <xdr:twoCellAnchor>
    <xdr:from>
      <xdr:col>12</xdr:col>
      <xdr:colOff>419396</xdr:colOff>
      <xdr:row>193</xdr:row>
      <xdr:rowOff>34877</xdr:rowOff>
    </xdr:from>
    <xdr:to>
      <xdr:col>12</xdr:col>
      <xdr:colOff>851396</xdr:colOff>
      <xdr:row>194</xdr:row>
      <xdr:rowOff>1512</xdr:rowOff>
    </xdr:to>
    <xdr:pic>
      <xdr:nvPicPr>
        <xdr:cNvPr id="564" name="Picture 563">
          <a:extLst>
            <a:ext uri="{FF2B5EF4-FFF2-40B4-BE49-F238E27FC236}">
              <a16:creationId xmlns:a16="http://schemas.microsoft.com/office/drawing/2014/main" id="{973CF287-FEBF-46E0-AF6F-08D13731E99C}"/>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15003" y="70431431"/>
          <a:ext cx="432000" cy="422474"/>
        </a:xfrm>
        <a:prstGeom prst="rect">
          <a:avLst/>
        </a:prstGeom>
        <a:noFill/>
      </xdr:spPr>
    </xdr:pic>
    <xdr:clientData/>
  </xdr:twoCellAnchor>
  <xdr:twoCellAnchor>
    <xdr:from>
      <xdr:col>12</xdr:col>
      <xdr:colOff>445477</xdr:colOff>
      <xdr:row>191</xdr:row>
      <xdr:rowOff>22677</xdr:rowOff>
    </xdr:from>
    <xdr:to>
      <xdr:col>12</xdr:col>
      <xdr:colOff>877477</xdr:colOff>
      <xdr:row>191</xdr:row>
      <xdr:rowOff>445152</xdr:rowOff>
    </xdr:to>
    <xdr:pic>
      <xdr:nvPicPr>
        <xdr:cNvPr id="565" name="Picture 564">
          <a:extLst>
            <a:ext uri="{FF2B5EF4-FFF2-40B4-BE49-F238E27FC236}">
              <a16:creationId xmlns:a16="http://schemas.microsoft.com/office/drawing/2014/main" id="{FA001309-B797-446E-A7D8-278019BDAA94}"/>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1084" y="69507552"/>
          <a:ext cx="432000" cy="422475"/>
        </a:xfrm>
        <a:prstGeom prst="rect">
          <a:avLst/>
        </a:prstGeom>
        <a:noFill/>
      </xdr:spPr>
    </xdr:pic>
    <xdr:clientData/>
  </xdr:twoCellAnchor>
  <xdr:twoCellAnchor>
    <xdr:from>
      <xdr:col>12</xdr:col>
      <xdr:colOff>442232</xdr:colOff>
      <xdr:row>194</xdr:row>
      <xdr:rowOff>15874</xdr:rowOff>
    </xdr:from>
    <xdr:to>
      <xdr:col>12</xdr:col>
      <xdr:colOff>874232</xdr:colOff>
      <xdr:row>194</xdr:row>
      <xdr:rowOff>447874</xdr:rowOff>
    </xdr:to>
    <xdr:pic>
      <xdr:nvPicPr>
        <xdr:cNvPr id="566" name="Picture 565">
          <a:extLst>
            <a:ext uri="{FF2B5EF4-FFF2-40B4-BE49-F238E27FC236}">
              <a16:creationId xmlns:a16="http://schemas.microsoft.com/office/drawing/2014/main" id="{668E9E2D-77B8-4FC9-AE6E-1F150CCA71E1}"/>
            </a:ext>
          </a:extLst>
        </xdr:cNvPr>
        <xdr:cNvPicPr>
          <a:picLocks noChangeAspect="1"/>
        </xdr:cNvPicPr>
      </xdr:nvPicPr>
      <xdr:blipFill>
        <a:blip xmlns:r="http://schemas.openxmlformats.org/officeDocument/2006/relationships" r:embed="rId19"/>
        <a:stretch>
          <a:fillRect/>
        </a:stretch>
      </xdr:blipFill>
      <xdr:spPr>
        <a:xfrm>
          <a:off x="8837839" y="70868267"/>
          <a:ext cx="432000" cy="432000"/>
        </a:xfrm>
        <a:prstGeom prst="rect">
          <a:avLst/>
        </a:prstGeom>
      </xdr:spPr>
    </xdr:pic>
    <xdr:clientData/>
  </xdr:twoCellAnchor>
  <xdr:twoCellAnchor>
    <xdr:from>
      <xdr:col>12</xdr:col>
      <xdr:colOff>450013</xdr:colOff>
      <xdr:row>195</xdr:row>
      <xdr:rowOff>21543</xdr:rowOff>
    </xdr:from>
    <xdr:to>
      <xdr:col>12</xdr:col>
      <xdr:colOff>882013</xdr:colOff>
      <xdr:row>195</xdr:row>
      <xdr:rowOff>453543</xdr:rowOff>
    </xdr:to>
    <xdr:pic>
      <xdr:nvPicPr>
        <xdr:cNvPr id="567" name="Picture 566" descr="hair protection">
          <a:extLst>
            <a:ext uri="{FF2B5EF4-FFF2-40B4-BE49-F238E27FC236}">
              <a16:creationId xmlns:a16="http://schemas.microsoft.com/office/drawing/2014/main" id="{7D2D09C1-646F-4414-BFE1-ED3E26F9E46A}"/>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5620" y="71329775"/>
          <a:ext cx="432000" cy="432000"/>
        </a:xfrm>
        <a:prstGeom prst="rect">
          <a:avLst/>
        </a:prstGeom>
        <a:noFill/>
        <a:ln>
          <a:noFill/>
        </a:ln>
      </xdr:spPr>
    </xdr:pic>
    <xdr:clientData/>
  </xdr:twoCellAnchor>
  <xdr:twoCellAnchor>
    <xdr:from>
      <xdr:col>12</xdr:col>
      <xdr:colOff>447902</xdr:colOff>
      <xdr:row>205</xdr:row>
      <xdr:rowOff>17690</xdr:rowOff>
    </xdr:from>
    <xdr:to>
      <xdr:col>12</xdr:col>
      <xdr:colOff>879902</xdr:colOff>
      <xdr:row>205</xdr:row>
      <xdr:rowOff>439792</xdr:rowOff>
    </xdr:to>
    <xdr:pic>
      <xdr:nvPicPr>
        <xdr:cNvPr id="568" name="Picture 567">
          <a:extLst>
            <a:ext uri="{FF2B5EF4-FFF2-40B4-BE49-F238E27FC236}">
              <a16:creationId xmlns:a16="http://schemas.microsoft.com/office/drawing/2014/main" id="{3185E0CB-48FB-420A-B36C-14F728D6E473}"/>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12</xdr:col>
      <xdr:colOff>447901</xdr:colOff>
      <xdr:row>206</xdr:row>
      <xdr:rowOff>20411</xdr:rowOff>
    </xdr:from>
    <xdr:to>
      <xdr:col>12</xdr:col>
      <xdr:colOff>879901</xdr:colOff>
      <xdr:row>206</xdr:row>
      <xdr:rowOff>452038</xdr:rowOff>
    </xdr:to>
    <xdr:pic>
      <xdr:nvPicPr>
        <xdr:cNvPr id="569" name="Picture 568">
          <a:extLst>
            <a:ext uri="{FF2B5EF4-FFF2-40B4-BE49-F238E27FC236}">
              <a16:creationId xmlns:a16="http://schemas.microsoft.com/office/drawing/2014/main" id="{04EA340F-1A00-4DEA-8139-9C3F2592E938}"/>
            </a:ext>
          </a:extLst>
        </xdr:cNvPr>
        <xdr:cNvPicPr>
          <a:picLocks noChangeAspect="1"/>
        </xdr:cNvPicPr>
      </xdr:nvPicPr>
      <xdr:blipFill>
        <a:blip xmlns:r="http://schemas.openxmlformats.org/officeDocument/2006/relationships" r:embed="rId15"/>
        <a:stretch>
          <a:fillRect/>
        </a:stretch>
      </xdr:blipFill>
      <xdr:spPr>
        <a:xfrm>
          <a:off x="5802312" y="95943965"/>
          <a:ext cx="432000" cy="431627"/>
        </a:xfrm>
        <a:prstGeom prst="rect">
          <a:avLst/>
        </a:prstGeom>
      </xdr:spPr>
    </xdr:pic>
    <xdr:clientData/>
  </xdr:twoCellAnchor>
  <xdr:twoCellAnchor>
    <xdr:from>
      <xdr:col>12</xdr:col>
      <xdr:colOff>442075</xdr:colOff>
      <xdr:row>208</xdr:row>
      <xdr:rowOff>12109</xdr:rowOff>
    </xdr:from>
    <xdr:to>
      <xdr:col>12</xdr:col>
      <xdr:colOff>874075</xdr:colOff>
      <xdr:row>208</xdr:row>
      <xdr:rowOff>444806</xdr:rowOff>
    </xdr:to>
    <xdr:pic>
      <xdr:nvPicPr>
        <xdr:cNvPr id="570" name="Picture 569">
          <a:extLst>
            <a:ext uri="{FF2B5EF4-FFF2-40B4-BE49-F238E27FC236}">
              <a16:creationId xmlns:a16="http://schemas.microsoft.com/office/drawing/2014/main" id="{799C9BB1-6CB5-4831-8BEB-7928578B8456}"/>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96486" y="96847341"/>
          <a:ext cx="432000" cy="432697"/>
        </a:xfrm>
        <a:prstGeom prst="rect">
          <a:avLst/>
        </a:prstGeom>
        <a:noFill/>
      </xdr:spPr>
    </xdr:pic>
    <xdr:clientData/>
  </xdr:twoCellAnchor>
  <xdr:twoCellAnchor>
    <xdr:from>
      <xdr:col>12</xdr:col>
      <xdr:colOff>433003</xdr:colOff>
      <xdr:row>209</xdr:row>
      <xdr:rowOff>21270</xdr:rowOff>
    </xdr:from>
    <xdr:to>
      <xdr:col>12</xdr:col>
      <xdr:colOff>865003</xdr:colOff>
      <xdr:row>209</xdr:row>
      <xdr:rowOff>443745</xdr:rowOff>
    </xdr:to>
    <xdr:pic>
      <xdr:nvPicPr>
        <xdr:cNvPr id="571" name="Picture 570">
          <a:extLst>
            <a:ext uri="{FF2B5EF4-FFF2-40B4-BE49-F238E27FC236}">
              <a16:creationId xmlns:a16="http://schemas.microsoft.com/office/drawing/2014/main" id="{EAA0FCA7-E213-4781-B8F3-109E3418990F}"/>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97312341"/>
          <a:ext cx="432000" cy="422475"/>
        </a:xfrm>
        <a:prstGeom prst="rect">
          <a:avLst/>
        </a:prstGeom>
        <a:noFill/>
      </xdr:spPr>
    </xdr:pic>
    <xdr:clientData/>
  </xdr:twoCellAnchor>
  <xdr:twoCellAnchor>
    <xdr:from>
      <xdr:col>12</xdr:col>
      <xdr:colOff>445477</xdr:colOff>
      <xdr:row>207</xdr:row>
      <xdr:rowOff>22677</xdr:rowOff>
    </xdr:from>
    <xdr:to>
      <xdr:col>12</xdr:col>
      <xdr:colOff>877477</xdr:colOff>
      <xdr:row>207</xdr:row>
      <xdr:rowOff>445152</xdr:rowOff>
    </xdr:to>
    <xdr:pic>
      <xdr:nvPicPr>
        <xdr:cNvPr id="572" name="Picture 571">
          <a:extLst>
            <a:ext uri="{FF2B5EF4-FFF2-40B4-BE49-F238E27FC236}">
              <a16:creationId xmlns:a16="http://schemas.microsoft.com/office/drawing/2014/main" id="{967C3E7A-30A8-44E6-A81F-441CED8D3201}"/>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96402070"/>
          <a:ext cx="432000" cy="422475"/>
        </a:xfrm>
        <a:prstGeom prst="rect">
          <a:avLst/>
        </a:prstGeom>
        <a:noFill/>
      </xdr:spPr>
    </xdr:pic>
    <xdr:clientData/>
  </xdr:twoCellAnchor>
  <xdr:twoCellAnchor>
    <xdr:from>
      <xdr:col>12</xdr:col>
      <xdr:colOff>442232</xdr:colOff>
      <xdr:row>210</xdr:row>
      <xdr:rowOff>15874</xdr:rowOff>
    </xdr:from>
    <xdr:to>
      <xdr:col>12</xdr:col>
      <xdr:colOff>874232</xdr:colOff>
      <xdr:row>210</xdr:row>
      <xdr:rowOff>447874</xdr:rowOff>
    </xdr:to>
    <xdr:pic>
      <xdr:nvPicPr>
        <xdr:cNvPr id="573" name="Picture 572">
          <a:extLst>
            <a:ext uri="{FF2B5EF4-FFF2-40B4-BE49-F238E27FC236}">
              <a16:creationId xmlns:a16="http://schemas.microsoft.com/office/drawing/2014/main" id="{3A6DA8CE-2230-4318-B688-6839CCC34DE9}"/>
            </a:ext>
          </a:extLst>
        </xdr:cNvPr>
        <xdr:cNvPicPr>
          <a:picLocks noChangeAspect="1"/>
        </xdr:cNvPicPr>
      </xdr:nvPicPr>
      <xdr:blipFill>
        <a:blip xmlns:r="http://schemas.openxmlformats.org/officeDocument/2006/relationships" r:embed="rId19"/>
        <a:stretch>
          <a:fillRect/>
        </a:stretch>
      </xdr:blipFill>
      <xdr:spPr>
        <a:xfrm>
          <a:off x="5796643" y="97762785"/>
          <a:ext cx="432000" cy="432000"/>
        </a:xfrm>
        <a:prstGeom prst="rect">
          <a:avLst/>
        </a:prstGeom>
      </xdr:spPr>
    </xdr:pic>
    <xdr:clientData/>
  </xdr:twoCellAnchor>
  <xdr:twoCellAnchor>
    <xdr:from>
      <xdr:col>12</xdr:col>
      <xdr:colOff>450013</xdr:colOff>
      <xdr:row>211</xdr:row>
      <xdr:rowOff>21543</xdr:rowOff>
    </xdr:from>
    <xdr:to>
      <xdr:col>12</xdr:col>
      <xdr:colOff>882013</xdr:colOff>
      <xdr:row>211</xdr:row>
      <xdr:rowOff>453543</xdr:rowOff>
    </xdr:to>
    <xdr:pic>
      <xdr:nvPicPr>
        <xdr:cNvPr id="574" name="Picture 573" descr="hair protection">
          <a:extLst>
            <a:ext uri="{FF2B5EF4-FFF2-40B4-BE49-F238E27FC236}">
              <a16:creationId xmlns:a16="http://schemas.microsoft.com/office/drawing/2014/main" id="{F8B375C0-EEE9-4CB6-A787-3DCFC6D41EFA}"/>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98224293"/>
          <a:ext cx="432000" cy="432000"/>
        </a:xfrm>
        <a:prstGeom prst="rect">
          <a:avLst/>
        </a:prstGeom>
        <a:noFill/>
        <a:ln>
          <a:noFill/>
        </a:ln>
      </xdr:spPr>
    </xdr:pic>
    <xdr:clientData/>
  </xdr:twoCellAnchor>
  <xdr:twoCellAnchor>
    <xdr:from>
      <xdr:col>12</xdr:col>
      <xdr:colOff>430735</xdr:colOff>
      <xdr:row>212</xdr:row>
      <xdr:rowOff>23811</xdr:rowOff>
    </xdr:from>
    <xdr:to>
      <xdr:col>12</xdr:col>
      <xdr:colOff>862735</xdr:colOff>
      <xdr:row>212</xdr:row>
      <xdr:rowOff>446286</xdr:rowOff>
    </xdr:to>
    <xdr:pic>
      <xdr:nvPicPr>
        <xdr:cNvPr id="575" name="Picture 574" descr="head protection">
          <a:extLst>
            <a:ext uri="{FF2B5EF4-FFF2-40B4-BE49-F238E27FC236}">
              <a16:creationId xmlns:a16="http://schemas.microsoft.com/office/drawing/2014/main" id="{F176F08C-1906-4191-987F-034D5ED06524}"/>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98682400"/>
          <a:ext cx="432000" cy="422475"/>
        </a:xfrm>
        <a:prstGeom prst="rect">
          <a:avLst/>
        </a:prstGeom>
        <a:noFill/>
        <a:ln>
          <a:noFill/>
        </a:ln>
      </xdr:spPr>
    </xdr:pic>
    <xdr:clientData/>
  </xdr:twoCellAnchor>
  <xdr:twoCellAnchor>
    <xdr:from>
      <xdr:col>12</xdr:col>
      <xdr:colOff>481990</xdr:colOff>
      <xdr:row>215</xdr:row>
      <xdr:rowOff>20408</xdr:rowOff>
    </xdr:from>
    <xdr:to>
      <xdr:col>12</xdr:col>
      <xdr:colOff>913990</xdr:colOff>
      <xdr:row>215</xdr:row>
      <xdr:rowOff>442883</xdr:rowOff>
    </xdr:to>
    <xdr:pic>
      <xdr:nvPicPr>
        <xdr:cNvPr id="576" name="Picture 575">
          <a:extLst>
            <a:ext uri="{FF2B5EF4-FFF2-40B4-BE49-F238E27FC236}">
              <a16:creationId xmlns:a16="http://schemas.microsoft.com/office/drawing/2014/main" id="{512B780D-7587-4C1E-AA5C-181951F989FD}"/>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00046515"/>
          <a:ext cx="432000" cy="422475"/>
        </a:xfrm>
        <a:prstGeom prst="rect">
          <a:avLst/>
        </a:prstGeom>
        <a:noFill/>
        <a:ln>
          <a:noFill/>
        </a:ln>
      </xdr:spPr>
    </xdr:pic>
    <xdr:clientData/>
  </xdr:twoCellAnchor>
  <xdr:twoCellAnchor>
    <xdr:from>
      <xdr:col>12</xdr:col>
      <xdr:colOff>476094</xdr:colOff>
      <xdr:row>217</xdr:row>
      <xdr:rowOff>18142</xdr:rowOff>
    </xdr:from>
    <xdr:to>
      <xdr:col>12</xdr:col>
      <xdr:colOff>908094</xdr:colOff>
      <xdr:row>217</xdr:row>
      <xdr:rowOff>440617</xdr:rowOff>
    </xdr:to>
    <xdr:pic>
      <xdr:nvPicPr>
        <xdr:cNvPr id="577" name="Picture 576" descr="safety vests">
          <a:extLst>
            <a:ext uri="{FF2B5EF4-FFF2-40B4-BE49-F238E27FC236}">
              <a16:creationId xmlns:a16="http://schemas.microsoft.com/office/drawing/2014/main" id="{5794D43B-54F6-4FCD-9D18-22492C72688A}"/>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830505" y="100955928"/>
          <a:ext cx="432000" cy="422475"/>
        </a:xfrm>
        <a:prstGeom prst="rect">
          <a:avLst/>
        </a:prstGeom>
        <a:noFill/>
        <a:ln>
          <a:noFill/>
        </a:ln>
      </xdr:spPr>
    </xdr:pic>
    <xdr:clientData/>
  </xdr:twoCellAnchor>
  <xdr:twoCellAnchor>
    <xdr:from>
      <xdr:col>12</xdr:col>
      <xdr:colOff>479048</xdr:colOff>
      <xdr:row>213</xdr:row>
      <xdr:rowOff>18541</xdr:rowOff>
    </xdr:from>
    <xdr:to>
      <xdr:col>12</xdr:col>
      <xdr:colOff>911048</xdr:colOff>
      <xdr:row>213</xdr:row>
      <xdr:rowOff>441016</xdr:rowOff>
    </xdr:to>
    <xdr:pic>
      <xdr:nvPicPr>
        <xdr:cNvPr id="578" name="Picture 577">
          <a:extLst>
            <a:ext uri="{FF2B5EF4-FFF2-40B4-BE49-F238E27FC236}">
              <a16:creationId xmlns:a16="http://schemas.microsoft.com/office/drawing/2014/main" id="{1D125EB8-7F20-4FA4-8849-C22DA0832EA7}"/>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33459" y="99132970"/>
          <a:ext cx="432000" cy="422475"/>
        </a:xfrm>
        <a:prstGeom prst="rect">
          <a:avLst/>
        </a:prstGeom>
        <a:noFill/>
      </xdr:spPr>
    </xdr:pic>
    <xdr:clientData/>
  </xdr:twoCellAnchor>
  <xdr:twoCellAnchor>
    <xdr:from>
      <xdr:col>12</xdr:col>
      <xdr:colOff>472691</xdr:colOff>
      <xdr:row>214</xdr:row>
      <xdr:rowOff>20410</xdr:rowOff>
    </xdr:from>
    <xdr:to>
      <xdr:col>12</xdr:col>
      <xdr:colOff>905440</xdr:colOff>
      <xdr:row>214</xdr:row>
      <xdr:rowOff>452410</xdr:rowOff>
    </xdr:to>
    <xdr:pic>
      <xdr:nvPicPr>
        <xdr:cNvPr id="579" name="Picture 578">
          <a:extLst>
            <a:ext uri="{FF2B5EF4-FFF2-40B4-BE49-F238E27FC236}">
              <a16:creationId xmlns:a16="http://schemas.microsoft.com/office/drawing/2014/main" id="{45B2C777-DA74-4F3E-B738-EBA714791FC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827102" y="99590678"/>
          <a:ext cx="432749" cy="432000"/>
        </a:xfrm>
        <a:prstGeom prst="rect">
          <a:avLst/>
        </a:prstGeom>
      </xdr:spPr>
    </xdr:pic>
    <xdr:clientData/>
  </xdr:twoCellAnchor>
  <xdr:twoCellAnchor>
    <xdr:from>
      <xdr:col>12</xdr:col>
      <xdr:colOff>476250</xdr:colOff>
      <xdr:row>216</xdr:row>
      <xdr:rowOff>17010</xdr:rowOff>
    </xdr:from>
    <xdr:to>
      <xdr:col>12</xdr:col>
      <xdr:colOff>908250</xdr:colOff>
      <xdr:row>216</xdr:row>
      <xdr:rowOff>449010</xdr:rowOff>
    </xdr:to>
    <xdr:pic>
      <xdr:nvPicPr>
        <xdr:cNvPr id="580" name="Picture 579">
          <a:extLst>
            <a:ext uri="{FF2B5EF4-FFF2-40B4-BE49-F238E27FC236}">
              <a16:creationId xmlns:a16="http://schemas.microsoft.com/office/drawing/2014/main" id="{6934A5F5-C134-4721-BB5B-BBDDE7B7051A}"/>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830661" y="100498956"/>
          <a:ext cx="432000" cy="432000"/>
        </a:xfrm>
        <a:prstGeom prst="rect">
          <a:avLst/>
        </a:prstGeom>
      </xdr:spPr>
    </xdr:pic>
    <xdr:clientData/>
  </xdr:twoCellAnchor>
  <xdr:twoCellAnchor>
    <xdr:from>
      <xdr:col>12</xdr:col>
      <xdr:colOff>436563</xdr:colOff>
      <xdr:row>218</xdr:row>
      <xdr:rowOff>17008</xdr:rowOff>
    </xdr:from>
    <xdr:to>
      <xdr:col>12</xdr:col>
      <xdr:colOff>868563</xdr:colOff>
      <xdr:row>218</xdr:row>
      <xdr:rowOff>449008</xdr:rowOff>
    </xdr:to>
    <xdr:pic>
      <xdr:nvPicPr>
        <xdr:cNvPr id="581" name="Picture 580">
          <a:extLst>
            <a:ext uri="{FF2B5EF4-FFF2-40B4-BE49-F238E27FC236}">
              <a16:creationId xmlns:a16="http://schemas.microsoft.com/office/drawing/2014/main" id="{5AB2F46C-F43F-4BF4-B184-F29185AA46B8}"/>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790974" y="101410633"/>
          <a:ext cx="432000" cy="432000"/>
        </a:xfrm>
        <a:prstGeom prst="rect">
          <a:avLst/>
        </a:prstGeom>
      </xdr:spPr>
    </xdr:pic>
    <xdr:clientData/>
  </xdr:twoCellAnchor>
  <xdr:twoCellAnchor>
    <xdr:from>
      <xdr:col>12</xdr:col>
      <xdr:colOff>443370</xdr:colOff>
      <xdr:row>219</xdr:row>
      <xdr:rowOff>17007</xdr:rowOff>
    </xdr:from>
    <xdr:to>
      <xdr:col>12</xdr:col>
      <xdr:colOff>875370</xdr:colOff>
      <xdr:row>219</xdr:row>
      <xdr:rowOff>449007</xdr:rowOff>
    </xdr:to>
    <xdr:pic>
      <xdr:nvPicPr>
        <xdr:cNvPr id="582" name="Picture 581">
          <a:extLst>
            <a:ext uri="{FF2B5EF4-FFF2-40B4-BE49-F238E27FC236}">
              <a16:creationId xmlns:a16="http://schemas.microsoft.com/office/drawing/2014/main" id="{D1FAD169-2834-4844-AD08-D29FE99F63EC}"/>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797781" y="101866471"/>
          <a:ext cx="432000" cy="432000"/>
        </a:xfrm>
        <a:prstGeom prst="rect">
          <a:avLst/>
        </a:prstGeom>
        <a:noFill/>
      </xdr:spPr>
    </xdr:pic>
    <xdr:clientData/>
  </xdr:twoCellAnchor>
  <xdr:twoCellAnchor>
    <xdr:from>
      <xdr:col>12</xdr:col>
      <xdr:colOff>457020</xdr:colOff>
      <xdr:row>220</xdr:row>
      <xdr:rowOff>30345</xdr:rowOff>
    </xdr:from>
    <xdr:to>
      <xdr:col>12</xdr:col>
      <xdr:colOff>889020</xdr:colOff>
      <xdr:row>220</xdr:row>
      <xdr:rowOff>452820</xdr:rowOff>
    </xdr:to>
    <xdr:pic>
      <xdr:nvPicPr>
        <xdr:cNvPr id="583" name="Picture 582">
          <a:extLst>
            <a:ext uri="{FF2B5EF4-FFF2-40B4-BE49-F238E27FC236}">
              <a16:creationId xmlns:a16="http://schemas.microsoft.com/office/drawing/2014/main" id="{6663F332-DDB9-4601-AB76-8C4DE0195E57}"/>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811431" y="102335649"/>
          <a:ext cx="432000" cy="422475"/>
        </a:xfrm>
        <a:prstGeom prst="rect">
          <a:avLst/>
        </a:prstGeom>
        <a:ln>
          <a:solidFill>
            <a:schemeClr val="tx1"/>
          </a:solidFill>
        </a:ln>
      </xdr:spPr>
    </xdr:pic>
    <xdr:clientData/>
  </xdr:twoCellAnchor>
  <xdr:twoCellAnchor>
    <xdr:from>
      <xdr:col>9</xdr:col>
      <xdr:colOff>442982</xdr:colOff>
      <xdr:row>206</xdr:row>
      <xdr:rowOff>16328</xdr:rowOff>
    </xdr:from>
    <xdr:to>
      <xdr:col>9</xdr:col>
      <xdr:colOff>874367</xdr:colOff>
      <xdr:row>206</xdr:row>
      <xdr:rowOff>448328</xdr:rowOff>
    </xdr:to>
    <xdr:pic>
      <xdr:nvPicPr>
        <xdr:cNvPr id="584" name="Picture 583">
          <a:extLst>
            <a:ext uri="{FF2B5EF4-FFF2-40B4-BE49-F238E27FC236}">
              <a16:creationId xmlns:a16="http://schemas.microsoft.com/office/drawing/2014/main" id="{3DB9BFE4-645D-410E-87F6-35B70EB72AD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207</xdr:row>
      <xdr:rowOff>16328</xdr:rowOff>
    </xdr:from>
    <xdr:to>
      <xdr:col>9</xdr:col>
      <xdr:colOff>874367</xdr:colOff>
      <xdr:row>207</xdr:row>
      <xdr:rowOff>448328</xdr:rowOff>
    </xdr:to>
    <xdr:pic>
      <xdr:nvPicPr>
        <xdr:cNvPr id="585" name="Picture 584">
          <a:extLst>
            <a:ext uri="{FF2B5EF4-FFF2-40B4-BE49-F238E27FC236}">
              <a16:creationId xmlns:a16="http://schemas.microsoft.com/office/drawing/2014/main" id="{8B8D14D2-E2A6-4B27-A161-129A8D17647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208</xdr:row>
      <xdr:rowOff>16328</xdr:rowOff>
    </xdr:from>
    <xdr:to>
      <xdr:col>9</xdr:col>
      <xdr:colOff>874367</xdr:colOff>
      <xdr:row>208</xdr:row>
      <xdr:rowOff>448328</xdr:rowOff>
    </xdr:to>
    <xdr:pic>
      <xdr:nvPicPr>
        <xdr:cNvPr id="586" name="Picture 585">
          <a:extLst>
            <a:ext uri="{FF2B5EF4-FFF2-40B4-BE49-F238E27FC236}">
              <a16:creationId xmlns:a16="http://schemas.microsoft.com/office/drawing/2014/main" id="{22390D41-426C-4870-B085-607F2A97BF7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209</xdr:row>
      <xdr:rowOff>16328</xdr:rowOff>
    </xdr:from>
    <xdr:to>
      <xdr:col>9</xdr:col>
      <xdr:colOff>874367</xdr:colOff>
      <xdr:row>209</xdr:row>
      <xdr:rowOff>448328</xdr:rowOff>
    </xdr:to>
    <xdr:pic>
      <xdr:nvPicPr>
        <xdr:cNvPr id="587" name="Picture 586">
          <a:extLst>
            <a:ext uri="{FF2B5EF4-FFF2-40B4-BE49-F238E27FC236}">
              <a16:creationId xmlns:a16="http://schemas.microsoft.com/office/drawing/2014/main" id="{A275F539-DD3C-44CA-A74B-738DEFD706A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210</xdr:row>
      <xdr:rowOff>16328</xdr:rowOff>
    </xdr:from>
    <xdr:to>
      <xdr:col>9</xdr:col>
      <xdr:colOff>874367</xdr:colOff>
      <xdr:row>210</xdr:row>
      <xdr:rowOff>448328</xdr:rowOff>
    </xdr:to>
    <xdr:pic>
      <xdr:nvPicPr>
        <xdr:cNvPr id="588" name="Picture 587">
          <a:extLst>
            <a:ext uri="{FF2B5EF4-FFF2-40B4-BE49-F238E27FC236}">
              <a16:creationId xmlns:a16="http://schemas.microsoft.com/office/drawing/2014/main" id="{238832C9-CE64-4D0B-8C14-F4D3A5A53FD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211</xdr:row>
      <xdr:rowOff>16328</xdr:rowOff>
    </xdr:from>
    <xdr:to>
      <xdr:col>9</xdr:col>
      <xdr:colOff>874367</xdr:colOff>
      <xdr:row>211</xdr:row>
      <xdr:rowOff>448328</xdr:rowOff>
    </xdr:to>
    <xdr:pic>
      <xdr:nvPicPr>
        <xdr:cNvPr id="589" name="Picture 588">
          <a:extLst>
            <a:ext uri="{FF2B5EF4-FFF2-40B4-BE49-F238E27FC236}">
              <a16:creationId xmlns:a16="http://schemas.microsoft.com/office/drawing/2014/main" id="{B17F0E15-7D4C-4B8E-B193-9D070CBAA09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212</xdr:row>
      <xdr:rowOff>16328</xdr:rowOff>
    </xdr:from>
    <xdr:to>
      <xdr:col>9</xdr:col>
      <xdr:colOff>874367</xdr:colOff>
      <xdr:row>212</xdr:row>
      <xdr:rowOff>448328</xdr:rowOff>
    </xdr:to>
    <xdr:pic>
      <xdr:nvPicPr>
        <xdr:cNvPr id="590" name="Picture 589">
          <a:extLst>
            <a:ext uri="{FF2B5EF4-FFF2-40B4-BE49-F238E27FC236}">
              <a16:creationId xmlns:a16="http://schemas.microsoft.com/office/drawing/2014/main" id="{2B28CF7E-A706-4751-AF63-A7C80A0D525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213</xdr:row>
      <xdr:rowOff>16328</xdr:rowOff>
    </xdr:from>
    <xdr:to>
      <xdr:col>9</xdr:col>
      <xdr:colOff>874367</xdr:colOff>
      <xdr:row>213</xdr:row>
      <xdr:rowOff>448328</xdr:rowOff>
    </xdr:to>
    <xdr:pic>
      <xdr:nvPicPr>
        <xdr:cNvPr id="591" name="Picture 590">
          <a:extLst>
            <a:ext uri="{FF2B5EF4-FFF2-40B4-BE49-F238E27FC236}">
              <a16:creationId xmlns:a16="http://schemas.microsoft.com/office/drawing/2014/main" id="{1F128C03-E3D5-4894-88A9-19665EB29C7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214</xdr:row>
      <xdr:rowOff>16328</xdr:rowOff>
    </xdr:from>
    <xdr:to>
      <xdr:col>9</xdr:col>
      <xdr:colOff>874367</xdr:colOff>
      <xdr:row>214</xdr:row>
      <xdr:rowOff>448328</xdr:rowOff>
    </xdr:to>
    <xdr:pic>
      <xdr:nvPicPr>
        <xdr:cNvPr id="592" name="Picture 591">
          <a:extLst>
            <a:ext uri="{FF2B5EF4-FFF2-40B4-BE49-F238E27FC236}">
              <a16:creationId xmlns:a16="http://schemas.microsoft.com/office/drawing/2014/main" id="{D4EDD0F0-41D5-4659-929E-45412D5C9EF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215</xdr:row>
      <xdr:rowOff>16328</xdr:rowOff>
    </xdr:from>
    <xdr:to>
      <xdr:col>9</xdr:col>
      <xdr:colOff>874367</xdr:colOff>
      <xdr:row>215</xdr:row>
      <xdr:rowOff>448328</xdr:rowOff>
    </xdr:to>
    <xdr:pic>
      <xdr:nvPicPr>
        <xdr:cNvPr id="593" name="Picture 592">
          <a:extLst>
            <a:ext uri="{FF2B5EF4-FFF2-40B4-BE49-F238E27FC236}">
              <a16:creationId xmlns:a16="http://schemas.microsoft.com/office/drawing/2014/main" id="{59EB3631-FB57-4A45-96AB-C6031F70ED1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216</xdr:row>
      <xdr:rowOff>16328</xdr:rowOff>
    </xdr:from>
    <xdr:to>
      <xdr:col>9</xdr:col>
      <xdr:colOff>874367</xdr:colOff>
      <xdr:row>216</xdr:row>
      <xdr:rowOff>448328</xdr:rowOff>
    </xdr:to>
    <xdr:pic>
      <xdr:nvPicPr>
        <xdr:cNvPr id="594" name="Picture 593">
          <a:extLst>
            <a:ext uri="{FF2B5EF4-FFF2-40B4-BE49-F238E27FC236}">
              <a16:creationId xmlns:a16="http://schemas.microsoft.com/office/drawing/2014/main" id="{53F08878-A4D6-4D18-B7EA-5868E0528DB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217</xdr:row>
      <xdr:rowOff>16328</xdr:rowOff>
    </xdr:from>
    <xdr:to>
      <xdr:col>9</xdr:col>
      <xdr:colOff>874367</xdr:colOff>
      <xdr:row>217</xdr:row>
      <xdr:rowOff>448328</xdr:rowOff>
    </xdr:to>
    <xdr:pic>
      <xdr:nvPicPr>
        <xdr:cNvPr id="595" name="Picture 594">
          <a:extLst>
            <a:ext uri="{FF2B5EF4-FFF2-40B4-BE49-F238E27FC236}">
              <a16:creationId xmlns:a16="http://schemas.microsoft.com/office/drawing/2014/main" id="{CC375562-26E6-484B-B6BA-FF4C8D4403D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218</xdr:row>
      <xdr:rowOff>16328</xdr:rowOff>
    </xdr:from>
    <xdr:to>
      <xdr:col>9</xdr:col>
      <xdr:colOff>874367</xdr:colOff>
      <xdr:row>218</xdr:row>
      <xdr:rowOff>448328</xdr:rowOff>
    </xdr:to>
    <xdr:pic>
      <xdr:nvPicPr>
        <xdr:cNvPr id="596" name="Picture 595">
          <a:extLst>
            <a:ext uri="{FF2B5EF4-FFF2-40B4-BE49-F238E27FC236}">
              <a16:creationId xmlns:a16="http://schemas.microsoft.com/office/drawing/2014/main" id="{7C660805-8849-471F-B873-3C8DD9F1632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219</xdr:row>
      <xdr:rowOff>16328</xdr:rowOff>
    </xdr:from>
    <xdr:to>
      <xdr:col>9</xdr:col>
      <xdr:colOff>874367</xdr:colOff>
      <xdr:row>219</xdr:row>
      <xdr:rowOff>448328</xdr:rowOff>
    </xdr:to>
    <xdr:pic>
      <xdr:nvPicPr>
        <xdr:cNvPr id="597" name="Picture 596">
          <a:extLst>
            <a:ext uri="{FF2B5EF4-FFF2-40B4-BE49-F238E27FC236}">
              <a16:creationId xmlns:a16="http://schemas.microsoft.com/office/drawing/2014/main" id="{1274FF56-0AD8-4C00-B501-455A1ABFB94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442982</xdr:colOff>
      <xdr:row>220</xdr:row>
      <xdr:rowOff>16328</xdr:rowOff>
    </xdr:from>
    <xdr:to>
      <xdr:col>9</xdr:col>
      <xdr:colOff>874367</xdr:colOff>
      <xdr:row>220</xdr:row>
      <xdr:rowOff>448328</xdr:rowOff>
    </xdr:to>
    <xdr:pic>
      <xdr:nvPicPr>
        <xdr:cNvPr id="598" name="Picture 597">
          <a:extLst>
            <a:ext uri="{FF2B5EF4-FFF2-40B4-BE49-F238E27FC236}">
              <a16:creationId xmlns:a16="http://schemas.microsoft.com/office/drawing/2014/main" id="{50C1758B-04EA-400D-B48D-8FD4D6334D4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7393" y="86823096"/>
          <a:ext cx="431385" cy="432000"/>
        </a:xfrm>
        <a:prstGeom prst="rect">
          <a:avLst/>
        </a:prstGeom>
      </xdr:spPr>
    </xdr:pic>
    <xdr:clientData/>
  </xdr:twoCellAnchor>
  <xdr:twoCellAnchor>
    <xdr:from>
      <xdr:col>9</xdr:col>
      <xdr:colOff>432255</xdr:colOff>
      <xdr:row>196</xdr:row>
      <xdr:rowOff>17235</xdr:rowOff>
    </xdr:from>
    <xdr:to>
      <xdr:col>9</xdr:col>
      <xdr:colOff>864372</xdr:colOff>
      <xdr:row>196</xdr:row>
      <xdr:rowOff>449235</xdr:rowOff>
    </xdr:to>
    <xdr:pic>
      <xdr:nvPicPr>
        <xdr:cNvPr id="602" name="Picture 601">
          <a:extLst>
            <a:ext uri="{FF2B5EF4-FFF2-40B4-BE49-F238E27FC236}">
              <a16:creationId xmlns:a16="http://schemas.microsoft.com/office/drawing/2014/main" id="{749A9C52-1CAC-482B-8E79-44143FFB4C34}"/>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786666" y="80898092"/>
          <a:ext cx="432117" cy="432000"/>
        </a:xfrm>
        <a:prstGeom prst="rect">
          <a:avLst/>
        </a:prstGeom>
      </xdr:spPr>
    </xdr:pic>
    <xdr:clientData/>
  </xdr:twoCellAnchor>
  <xdr:twoCellAnchor>
    <xdr:from>
      <xdr:col>9</xdr:col>
      <xdr:colOff>432255</xdr:colOff>
      <xdr:row>197</xdr:row>
      <xdr:rowOff>17235</xdr:rowOff>
    </xdr:from>
    <xdr:to>
      <xdr:col>9</xdr:col>
      <xdr:colOff>864372</xdr:colOff>
      <xdr:row>197</xdr:row>
      <xdr:rowOff>449235</xdr:rowOff>
    </xdr:to>
    <xdr:pic>
      <xdr:nvPicPr>
        <xdr:cNvPr id="603" name="Picture 602">
          <a:extLst>
            <a:ext uri="{FF2B5EF4-FFF2-40B4-BE49-F238E27FC236}">
              <a16:creationId xmlns:a16="http://schemas.microsoft.com/office/drawing/2014/main" id="{8D354A72-3E95-4051-98FF-AFEAE427DDE8}"/>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786666" y="80898092"/>
          <a:ext cx="432117" cy="432000"/>
        </a:xfrm>
        <a:prstGeom prst="rect">
          <a:avLst/>
        </a:prstGeom>
      </xdr:spPr>
    </xdr:pic>
    <xdr:clientData/>
  </xdr:twoCellAnchor>
  <xdr:twoCellAnchor>
    <xdr:from>
      <xdr:col>9</xdr:col>
      <xdr:colOff>432255</xdr:colOff>
      <xdr:row>198</xdr:row>
      <xdr:rowOff>17235</xdr:rowOff>
    </xdr:from>
    <xdr:to>
      <xdr:col>9</xdr:col>
      <xdr:colOff>864372</xdr:colOff>
      <xdr:row>198</xdr:row>
      <xdr:rowOff>449235</xdr:rowOff>
    </xdr:to>
    <xdr:pic>
      <xdr:nvPicPr>
        <xdr:cNvPr id="604" name="Picture 603">
          <a:extLst>
            <a:ext uri="{FF2B5EF4-FFF2-40B4-BE49-F238E27FC236}">
              <a16:creationId xmlns:a16="http://schemas.microsoft.com/office/drawing/2014/main" id="{3F86679A-4315-40BF-AAFA-707BF8F2A487}"/>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786666" y="80898092"/>
          <a:ext cx="432117" cy="432000"/>
        </a:xfrm>
        <a:prstGeom prst="rect">
          <a:avLst/>
        </a:prstGeom>
      </xdr:spPr>
    </xdr:pic>
    <xdr:clientData/>
  </xdr:twoCellAnchor>
  <xdr:twoCellAnchor>
    <xdr:from>
      <xdr:col>9</xdr:col>
      <xdr:colOff>432255</xdr:colOff>
      <xdr:row>199</xdr:row>
      <xdr:rowOff>17235</xdr:rowOff>
    </xdr:from>
    <xdr:to>
      <xdr:col>9</xdr:col>
      <xdr:colOff>864372</xdr:colOff>
      <xdr:row>199</xdr:row>
      <xdr:rowOff>449235</xdr:rowOff>
    </xdr:to>
    <xdr:pic>
      <xdr:nvPicPr>
        <xdr:cNvPr id="605" name="Picture 604">
          <a:extLst>
            <a:ext uri="{FF2B5EF4-FFF2-40B4-BE49-F238E27FC236}">
              <a16:creationId xmlns:a16="http://schemas.microsoft.com/office/drawing/2014/main" id="{A68824E3-2903-44AC-B4C4-7C284A1198B4}"/>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786666" y="80898092"/>
          <a:ext cx="432117" cy="432000"/>
        </a:xfrm>
        <a:prstGeom prst="rect">
          <a:avLst/>
        </a:prstGeom>
      </xdr:spPr>
    </xdr:pic>
    <xdr:clientData/>
  </xdr:twoCellAnchor>
  <xdr:twoCellAnchor>
    <xdr:from>
      <xdr:col>9</xdr:col>
      <xdr:colOff>432255</xdr:colOff>
      <xdr:row>200</xdr:row>
      <xdr:rowOff>17235</xdr:rowOff>
    </xdr:from>
    <xdr:to>
      <xdr:col>9</xdr:col>
      <xdr:colOff>864372</xdr:colOff>
      <xdr:row>200</xdr:row>
      <xdr:rowOff>449235</xdr:rowOff>
    </xdr:to>
    <xdr:pic>
      <xdr:nvPicPr>
        <xdr:cNvPr id="606" name="Picture 605">
          <a:extLst>
            <a:ext uri="{FF2B5EF4-FFF2-40B4-BE49-F238E27FC236}">
              <a16:creationId xmlns:a16="http://schemas.microsoft.com/office/drawing/2014/main" id="{C80927D7-80EA-4E54-9084-DDD7993FADB4}"/>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786666" y="80898092"/>
          <a:ext cx="432117" cy="432000"/>
        </a:xfrm>
        <a:prstGeom prst="rect">
          <a:avLst/>
        </a:prstGeom>
      </xdr:spPr>
    </xdr:pic>
    <xdr:clientData/>
  </xdr:twoCellAnchor>
  <xdr:twoCellAnchor>
    <xdr:from>
      <xdr:col>9</xdr:col>
      <xdr:colOff>432255</xdr:colOff>
      <xdr:row>201</xdr:row>
      <xdr:rowOff>17235</xdr:rowOff>
    </xdr:from>
    <xdr:to>
      <xdr:col>9</xdr:col>
      <xdr:colOff>864372</xdr:colOff>
      <xdr:row>201</xdr:row>
      <xdr:rowOff>449235</xdr:rowOff>
    </xdr:to>
    <xdr:pic>
      <xdr:nvPicPr>
        <xdr:cNvPr id="607" name="Picture 606">
          <a:extLst>
            <a:ext uri="{FF2B5EF4-FFF2-40B4-BE49-F238E27FC236}">
              <a16:creationId xmlns:a16="http://schemas.microsoft.com/office/drawing/2014/main" id="{9ABB2315-0E49-46EB-8CD9-06982CD535C0}"/>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786666" y="80898092"/>
          <a:ext cx="432117" cy="432000"/>
        </a:xfrm>
        <a:prstGeom prst="rect">
          <a:avLst/>
        </a:prstGeom>
      </xdr:spPr>
    </xdr:pic>
    <xdr:clientData/>
  </xdr:twoCellAnchor>
  <xdr:twoCellAnchor>
    <xdr:from>
      <xdr:col>9</xdr:col>
      <xdr:colOff>432255</xdr:colOff>
      <xdr:row>202</xdr:row>
      <xdr:rowOff>17235</xdr:rowOff>
    </xdr:from>
    <xdr:to>
      <xdr:col>9</xdr:col>
      <xdr:colOff>864372</xdr:colOff>
      <xdr:row>202</xdr:row>
      <xdr:rowOff>449235</xdr:rowOff>
    </xdr:to>
    <xdr:pic>
      <xdr:nvPicPr>
        <xdr:cNvPr id="608" name="Picture 607">
          <a:extLst>
            <a:ext uri="{FF2B5EF4-FFF2-40B4-BE49-F238E27FC236}">
              <a16:creationId xmlns:a16="http://schemas.microsoft.com/office/drawing/2014/main" id="{09CBE931-E973-49A4-85F1-51B4FD51D923}"/>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786666" y="80898092"/>
          <a:ext cx="432117" cy="432000"/>
        </a:xfrm>
        <a:prstGeom prst="rect">
          <a:avLst/>
        </a:prstGeom>
      </xdr:spPr>
    </xdr:pic>
    <xdr:clientData/>
  </xdr:twoCellAnchor>
  <xdr:twoCellAnchor>
    <xdr:from>
      <xdr:col>9</xdr:col>
      <xdr:colOff>432255</xdr:colOff>
      <xdr:row>203</xdr:row>
      <xdr:rowOff>17235</xdr:rowOff>
    </xdr:from>
    <xdr:to>
      <xdr:col>9</xdr:col>
      <xdr:colOff>864372</xdr:colOff>
      <xdr:row>203</xdr:row>
      <xdr:rowOff>449235</xdr:rowOff>
    </xdr:to>
    <xdr:pic>
      <xdr:nvPicPr>
        <xdr:cNvPr id="609" name="Picture 608">
          <a:extLst>
            <a:ext uri="{FF2B5EF4-FFF2-40B4-BE49-F238E27FC236}">
              <a16:creationId xmlns:a16="http://schemas.microsoft.com/office/drawing/2014/main" id="{DABF7890-009C-4D59-8F82-7F52243E0A3A}"/>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786666" y="80898092"/>
          <a:ext cx="432117" cy="432000"/>
        </a:xfrm>
        <a:prstGeom prst="rect">
          <a:avLst/>
        </a:prstGeom>
      </xdr:spPr>
    </xdr:pic>
    <xdr:clientData/>
  </xdr:twoCellAnchor>
  <xdr:twoCellAnchor>
    <xdr:from>
      <xdr:col>9</xdr:col>
      <xdr:colOff>432255</xdr:colOff>
      <xdr:row>204</xdr:row>
      <xdr:rowOff>17235</xdr:rowOff>
    </xdr:from>
    <xdr:to>
      <xdr:col>9</xdr:col>
      <xdr:colOff>864372</xdr:colOff>
      <xdr:row>204</xdr:row>
      <xdr:rowOff>449235</xdr:rowOff>
    </xdr:to>
    <xdr:pic>
      <xdr:nvPicPr>
        <xdr:cNvPr id="610" name="Picture 609">
          <a:extLst>
            <a:ext uri="{FF2B5EF4-FFF2-40B4-BE49-F238E27FC236}">
              <a16:creationId xmlns:a16="http://schemas.microsoft.com/office/drawing/2014/main" id="{EE34B013-198F-41FC-A4BF-AC437F727F1B}"/>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5786666" y="80898092"/>
          <a:ext cx="432117" cy="432000"/>
        </a:xfrm>
        <a:prstGeom prst="rect">
          <a:avLst/>
        </a:prstGeom>
      </xdr:spPr>
    </xdr:pic>
    <xdr:clientData/>
  </xdr:twoCellAnchor>
  <xdr:twoCellAnchor>
    <xdr:from>
      <xdr:col>9</xdr:col>
      <xdr:colOff>447902</xdr:colOff>
      <xdr:row>221</xdr:row>
      <xdr:rowOff>17690</xdr:rowOff>
    </xdr:from>
    <xdr:to>
      <xdr:col>9</xdr:col>
      <xdr:colOff>879902</xdr:colOff>
      <xdr:row>221</xdr:row>
      <xdr:rowOff>439792</xdr:rowOff>
    </xdr:to>
    <xdr:pic>
      <xdr:nvPicPr>
        <xdr:cNvPr id="611" name="Picture 610">
          <a:extLst>
            <a:ext uri="{FF2B5EF4-FFF2-40B4-BE49-F238E27FC236}">
              <a16:creationId xmlns:a16="http://schemas.microsoft.com/office/drawing/2014/main" id="{A05052EA-528D-4245-844C-E1AD9FF112D2}"/>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222</xdr:row>
      <xdr:rowOff>17690</xdr:rowOff>
    </xdr:from>
    <xdr:to>
      <xdr:col>9</xdr:col>
      <xdr:colOff>879902</xdr:colOff>
      <xdr:row>222</xdr:row>
      <xdr:rowOff>439792</xdr:rowOff>
    </xdr:to>
    <xdr:pic>
      <xdr:nvPicPr>
        <xdr:cNvPr id="612" name="Picture 611">
          <a:extLst>
            <a:ext uri="{FF2B5EF4-FFF2-40B4-BE49-F238E27FC236}">
              <a16:creationId xmlns:a16="http://schemas.microsoft.com/office/drawing/2014/main" id="{068D1BA1-EDD4-4C4A-A5BD-08505A014C96}"/>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223</xdr:row>
      <xdr:rowOff>17690</xdr:rowOff>
    </xdr:from>
    <xdr:to>
      <xdr:col>9</xdr:col>
      <xdr:colOff>879902</xdr:colOff>
      <xdr:row>223</xdr:row>
      <xdr:rowOff>439792</xdr:rowOff>
    </xdr:to>
    <xdr:pic>
      <xdr:nvPicPr>
        <xdr:cNvPr id="613" name="Picture 612">
          <a:extLst>
            <a:ext uri="{FF2B5EF4-FFF2-40B4-BE49-F238E27FC236}">
              <a16:creationId xmlns:a16="http://schemas.microsoft.com/office/drawing/2014/main" id="{71CE0E69-D457-49F1-8B41-1C1D711600A3}"/>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12</xdr:col>
      <xdr:colOff>442075</xdr:colOff>
      <xdr:row>222</xdr:row>
      <xdr:rowOff>12109</xdr:rowOff>
    </xdr:from>
    <xdr:to>
      <xdr:col>12</xdr:col>
      <xdr:colOff>874075</xdr:colOff>
      <xdr:row>222</xdr:row>
      <xdr:rowOff>444806</xdr:rowOff>
    </xdr:to>
    <xdr:pic>
      <xdr:nvPicPr>
        <xdr:cNvPr id="614" name="Picture 613">
          <a:extLst>
            <a:ext uri="{FF2B5EF4-FFF2-40B4-BE49-F238E27FC236}">
              <a16:creationId xmlns:a16="http://schemas.microsoft.com/office/drawing/2014/main" id="{991D14E4-C614-4ABC-845E-B66ECCA5E53F}"/>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96486" y="101405734"/>
          <a:ext cx="432000" cy="432697"/>
        </a:xfrm>
        <a:prstGeom prst="rect">
          <a:avLst/>
        </a:prstGeom>
        <a:noFill/>
      </xdr:spPr>
    </xdr:pic>
    <xdr:clientData/>
  </xdr:twoCellAnchor>
  <xdr:twoCellAnchor>
    <xdr:from>
      <xdr:col>12</xdr:col>
      <xdr:colOff>433003</xdr:colOff>
      <xdr:row>223</xdr:row>
      <xdr:rowOff>21270</xdr:rowOff>
    </xdr:from>
    <xdr:to>
      <xdr:col>12</xdr:col>
      <xdr:colOff>865003</xdr:colOff>
      <xdr:row>223</xdr:row>
      <xdr:rowOff>443745</xdr:rowOff>
    </xdr:to>
    <xdr:pic>
      <xdr:nvPicPr>
        <xdr:cNvPr id="615" name="Picture 614">
          <a:extLst>
            <a:ext uri="{FF2B5EF4-FFF2-40B4-BE49-F238E27FC236}">
              <a16:creationId xmlns:a16="http://schemas.microsoft.com/office/drawing/2014/main" id="{4547B58A-21CA-439B-B0BD-078C4947E467}"/>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01870734"/>
          <a:ext cx="432000" cy="422475"/>
        </a:xfrm>
        <a:prstGeom prst="rect">
          <a:avLst/>
        </a:prstGeom>
        <a:noFill/>
      </xdr:spPr>
    </xdr:pic>
    <xdr:clientData/>
  </xdr:twoCellAnchor>
  <xdr:twoCellAnchor>
    <xdr:from>
      <xdr:col>12</xdr:col>
      <xdr:colOff>445477</xdr:colOff>
      <xdr:row>221</xdr:row>
      <xdr:rowOff>22677</xdr:rowOff>
    </xdr:from>
    <xdr:to>
      <xdr:col>12</xdr:col>
      <xdr:colOff>877477</xdr:colOff>
      <xdr:row>221</xdr:row>
      <xdr:rowOff>445152</xdr:rowOff>
    </xdr:to>
    <xdr:pic>
      <xdr:nvPicPr>
        <xdr:cNvPr id="616" name="Picture 615">
          <a:extLst>
            <a:ext uri="{FF2B5EF4-FFF2-40B4-BE49-F238E27FC236}">
              <a16:creationId xmlns:a16="http://schemas.microsoft.com/office/drawing/2014/main" id="{77DCA6C2-E85E-4856-904F-F76F0B7ADB78}"/>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0960463"/>
          <a:ext cx="432000" cy="422475"/>
        </a:xfrm>
        <a:prstGeom prst="rect">
          <a:avLst/>
        </a:prstGeom>
        <a:noFill/>
      </xdr:spPr>
    </xdr:pic>
    <xdr:clientData/>
  </xdr:twoCellAnchor>
  <xdr:twoCellAnchor>
    <xdr:from>
      <xdr:col>12</xdr:col>
      <xdr:colOff>442232</xdr:colOff>
      <xdr:row>224</xdr:row>
      <xdr:rowOff>15874</xdr:rowOff>
    </xdr:from>
    <xdr:to>
      <xdr:col>12</xdr:col>
      <xdr:colOff>874232</xdr:colOff>
      <xdr:row>224</xdr:row>
      <xdr:rowOff>447874</xdr:rowOff>
    </xdr:to>
    <xdr:pic>
      <xdr:nvPicPr>
        <xdr:cNvPr id="617" name="Picture 616">
          <a:extLst>
            <a:ext uri="{FF2B5EF4-FFF2-40B4-BE49-F238E27FC236}">
              <a16:creationId xmlns:a16="http://schemas.microsoft.com/office/drawing/2014/main" id="{A3942F69-ADEC-4806-92EF-8BC6645B0F16}"/>
            </a:ext>
          </a:extLst>
        </xdr:cNvPr>
        <xdr:cNvPicPr>
          <a:picLocks noChangeAspect="1"/>
        </xdr:cNvPicPr>
      </xdr:nvPicPr>
      <xdr:blipFill>
        <a:blip xmlns:r="http://schemas.openxmlformats.org/officeDocument/2006/relationships" r:embed="rId19"/>
        <a:stretch>
          <a:fillRect/>
        </a:stretch>
      </xdr:blipFill>
      <xdr:spPr>
        <a:xfrm>
          <a:off x="5796643" y="102321178"/>
          <a:ext cx="432000" cy="432000"/>
        </a:xfrm>
        <a:prstGeom prst="rect">
          <a:avLst/>
        </a:prstGeom>
      </xdr:spPr>
    </xdr:pic>
    <xdr:clientData/>
  </xdr:twoCellAnchor>
  <xdr:twoCellAnchor>
    <xdr:from>
      <xdr:col>12</xdr:col>
      <xdr:colOff>450013</xdr:colOff>
      <xdr:row>225</xdr:row>
      <xdr:rowOff>21543</xdr:rowOff>
    </xdr:from>
    <xdr:to>
      <xdr:col>12</xdr:col>
      <xdr:colOff>882013</xdr:colOff>
      <xdr:row>225</xdr:row>
      <xdr:rowOff>453543</xdr:rowOff>
    </xdr:to>
    <xdr:pic>
      <xdr:nvPicPr>
        <xdr:cNvPr id="618" name="Picture 617" descr="hair protection">
          <a:extLst>
            <a:ext uri="{FF2B5EF4-FFF2-40B4-BE49-F238E27FC236}">
              <a16:creationId xmlns:a16="http://schemas.microsoft.com/office/drawing/2014/main" id="{DF5778EE-7947-4A30-9177-2861D3F09CC0}"/>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02782686"/>
          <a:ext cx="432000" cy="432000"/>
        </a:xfrm>
        <a:prstGeom prst="rect">
          <a:avLst/>
        </a:prstGeom>
        <a:noFill/>
        <a:ln>
          <a:noFill/>
        </a:ln>
      </xdr:spPr>
    </xdr:pic>
    <xdr:clientData/>
  </xdr:twoCellAnchor>
  <xdr:twoCellAnchor>
    <xdr:from>
      <xdr:col>12</xdr:col>
      <xdr:colOff>430735</xdr:colOff>
      <xdr:row>226</xdr:row>
      <xdr:rowOff>23811</xdr:rowOff>
    </xdr:from>
    <xdr:to>
      <xdr:col>12</xdr:col>
      <xdr:colOff>862735</xdr:colOff>
      <xdr:row>226</xdr:row>
      <xdr:rowOff>446286</xdr:rowOff>
    </xdr:to>
    <xdr:pic>
      <xdr:nvPicPr>
        <xdr:cNvPr id="619" name="Picture 618" descr="head protection">
          <a:extLst>
            <a:ext uri="{FF2B5EF4-FFF2-40B4-BE49-F238E27FC236}">
              <a16:creationId xmlns:a16="http://schemas.microsoft.com/office/drawing/2014/main" id="{069D49CA-14FE-4266-A80A-8AFA1ADE4816}"/>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03240793"/>
          <a:ext cx="432000" cy="422475"/>
        </a:xfrm>
        <a:prstGeom prst="rect">
          <a:avLst/>
        </a:prstGeom>
        <a:noFill/>
        <a:ln>
          <a:noFill/>
        </a:ln>
      </xdr:spPr>
    </xdr:pic>
    <xdr:clientData/>
  </xdr:twoCellAnchor>
  <xdr:twoCellAnchor>
    <xdr:from>
      <xdr:col>12</xdr:col>
      <xdr:colOff>481990</xdr:colOff>
      <xdr:row>229</xdr:row>
      <xdr:rowOff>20408</xdr:rowOff>
    </xdr:from>
    <xdr:to>
      <xdr:col>12</xdr:col>
      <xdr:colOff>913990</xdr:colOff>
      <xdr:row>229</xdr:row>
      <xdr:rowOff>442883</xdr:rowOff>
    </xdr:to>
    <xdr:pic>
      <xdr:nvPicPr>
        <xdr:cNvPr id="620" name="Picture 619">
          <a:extLst>
            <a:ext uri="{FF2B5EF4-FFF2-40B4-BE49-F238E27FC236}">
              <a16:creationId xmlns:a16="http://schemas.microsoft.com/office/drawing/2014/main" id="{0E22B625-BA3C-4B76-88DD-5605879FC378}"/>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04604908"/>
          <a:ext cx="432000" cy="422475"/>
        </a:xfrm>
        <a:prstGeom prst="rect">
          <a:avLst/>
        </a:prstGeom>
        <a:noFill/>
        <a:ln>
          <a:noFill/>
        </a:ln>
      </xdr:spPr>
    </xdr:pic>
    <xdr:clientData/>
  </xdr:twoCellAnchor>
  <xdr:twoCellAnchor>
    <xdr:from>
      <xdr:col>12</xdr:col>
      <xdr:colOff>476094</xdr:colOff>
      <xdr:row>231</xdr:row>
      <xdr:rowOff>18142</xdr:rowOff>
    </xdr:from>
    <xdr:to>
      <xdr:col>12</xdr:col>
      <xdr:colOff>908094</xdr:colOff>
      <xdr:row>231</xdr:row>
      <xdr:rowOff>440617</xdr:rowOff>
    </xdr:to>
    <xdr:pic>
      <xdr:nvPicPr>
        <xdr:cNvPr id="621" name="Picture 620" descr="safety vests">
          <a:extLst>
            <a:ext uri="{FF2B5EF4-FFF2-40B4-BE49-F238E27FC236}">
              <a16:creationId xmlns:a16="http://schemas.microsoft.com/office/drawing/2014/main" id="{E5016626-376D-47E0-B9F1-1E8FBB932144}"/>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830505" y="105514321"/>
          <a:ext cx="432000" cy="422475"/>
        </a:xfrm>
        <a:prstGeom prst="rect">
          <a:avLst/>
        </a:prstGeom>
        <a:noFill/>
        <a:ln>
          <a:noFill/>
        </a:ln>
      </xdr:spPr>
    </xdr:pic>
    <xdr:clientData/>
  </xdr:twoCellAnchor>
  <xdr:twoCellAnchor>
    <xdr:from>
      <xdr:col>12</xdr:col>
      <xdr:colOff>479048</xdr:colOff>
      <xdr:row>227</xdr:row>
      <xdr:rowOff>18541</xdr:rowOff>
    </xdr:from>
    <xdr:to>
      <xdr:col>12</xdr:col>
      <xdr:colOff>911048</xdr:colOff>
      <xdr:row>227</xdr:row>
      <xdr:rowOff>441016</xdr:rowOff>
    </xdr:to>
    <xdr:pic>
      <xdr:nvPicPr>
        <xdr:cNvPr id="622" name="Picture 621">
          <a:extLst>
            <a:ext uri="{FF2B5EF4-FFF2-40B4-BE49-F238E27FC236}">
              <a16:creationId xmlns:a16="http://schemas.microsoft.com/office/drawing/2014/main" id="{E3937243-F0B4-45A2-BC53-C5B9419668DA}"/>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33459" y="103691362"/>
          <a:ext cx="432000" cy="422475"/>
        </a:xfrm>
        <a:prstGeom prst="rect">
          <a:avLst/>
        </a:prstGeom>
        <a:noFill/>
      </xdr:spPr>
    </xdr:pic>
    <xdr:clientData/>
  </xdr:twoCellAnchor>
  <xdr:twoCellAnchor>
    <xdr:from>
      <xdr:col>12</xdr:col>
      <xdr:colOff>472691</xdr:colOff>
      <xdr:row>228</xdr:row>
      <xdr:rowOff>20410</xdr:rowOff>
    </xdr:from>
    <xdr:to>
      <xdr:col>12</xdr:col>
      <xdr:colOff>905440</xdr:colOff>
      <xdr:row>228</xdr:row>
      <xdr:rowOff>452410</xdr:rowOff>
    </xdr:to>
    <xdr:pic>
      <xdr:nvPicPr>
        <xdr:cNvPr id="623" name="Picture 622">
          <a:extLst>
            <a:ext uri="{FF2B5EF4-FFF2-40B4-BE49-F238E27FC236}">
              <a16:creationId xmlns:a16="http://schemas.microsoft.com/office/drawing/2014/main" id="{FF6AFBDC-E6D9-43F1-8566-EF7F3909F13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827102" y="104149071"/>
          <a:ext cx="432749" cy="432000"/>
        </a:xfrm>
        <a:prstGeom prst="rect">
          <a:avLst/>
        </a:prstGeom>
      </xdr:spPr>
    </xdr:pic>
    <xdr:clientData/>
  </xdr:twoCellAnchor>
  <xdr:twoCellAnchor>
    <xdr:from>
      <xdr:col>12</xdr:col>
      <xdr:colOff>476250</xdr:colOff>
      <xdr:row>230</xdr:row>
      <xdr:rowOff>17010</xdr:rowOff>
    </xdr:from>
    <xdr:to>
      <xdr:col>12</xdr:col>
      <xdr:colOff>908250</xdr:colOff>
      <xdr:row>230</xdr:row>
      <xdr:rowOff>449010</xdr:rowOff>
    </xdr:to>
    <xdr:pic>
      <xdr:nvPicPr>
        <xdr:cNvPr id="624" name="Picture 623">
          <a:extLst>
            <a:ext uri="{FF2B5EF4-FFF2-40B4-BE49-F238E27FC236}">
              <a16:creationId xmlns:a16="http://schemas.microsoft.com/office/drawing/2014/main" id="{3AFE4079-B69D-4E9C-9221-1585A7170058}"/>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830661" y="105057349"/>
          <a:ext cx="432000" cy="432000"/>
        </a:xfrm>
        <a:prstGeom prst="rect">
          <a:avLst/>
        </a:prstGeom>
      </xdr:spPr>
    </xdr:pic>
    <xdr:clientData/>
  </xdr:twoCellAnchor>
  <xdr:twoCellAnchor>
    <xdr:from>
      <xdr:col>12</xdr:col>
      <xdr:colOff>436563</xdr:colOff>
      <xdr:row>232</xdr:row>
      <xdr:rowOff>17008</xdr:rowOff>
    </xdr:from>
    <xdr:to>
      <xdr:col>12</xdr:col>
      <xdr:colOff>868563</xdr:colOff>
      <xdr:row>232</xdr:row>
      <xdr:rowOff>449008</xdr:rowOff>
    </xdr:to>
    <xdr:pic>
      <xdr:nvPicPr>
        <xdr:cNvPr id="625" name="Picture 624">
          <a:extLst>
            <a:ext uri="{FF2B5EF4-FFF2-40B4-BE49-F238E27FC236}">
              <a16:creationId xmlns:a16="http://schemas.microsoft.com/office/drawing/2014/main" id="{E8D5753A-A711-4503-8293-8FBA4588A0E8}"/>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790974" y="105969026"/>
          <a:ext cx="432000" cy="432000"/>
        </a:xfrm>
        <a:prstGeom prst="rect">
          <a:avLst/>
        </a:prstGeom>
      </xdr:spPr>
    </xdr:pic>
    <xdr:clientData/>
  </xdr:twoCellAnchor>
  <xdr:twoCellAnchor>
    <xdr:from>
      <xdr:col>12</xdr:col>
      <xdr:colOff>443370</xdr:colOff>
      <xdr:row>233</xdr:row>
      <xdr:rowOff>17007</xdr:rowOff>
    </xdr:from>
    <xdr:to>
      <xdr:col>12</xdr:col>
      <xdr:colOff>875370</xdr:colOff>
      <xdr:row>233</xdr:row>
      <xdr:rowOff>449007</xdr:rowOff>
    </xdr:to>
    <xdr:pic>
      <xdr:nvPicPr>
        <xdr:cNvPr id="626" name="Picture 625">
          <a:extLst>
            <a:ext uri="{FF2B5EF4-FFF2-40B4-BE49-F238E27FC236}">
              <a16:creationId xmlns:a16="http://schemas.microsoft.com/office/drawing/2014/main" id="{8B7C25D9-CEC0-4FD3-81B6-12167F23467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797781" y="106424864"/>
          <a:ext cx="432000" cy="432000"/>
        </a:xfrm>
        <a:prstGeom prst="rect">
          <a:avLst/>
        </a:prstGeom>
        <a:noFill/>
      </xdr:spPr>
    </xdr:pic>
    <xdr:clientData/>
  </xdr:twoCellAnchor>
  <xdr:twoCellAnchor>
    <xdr:from>
      <xdr:col>12</xdr:col>
      <xdr:colOff>457020</xdr:colOff>
      <xdr:row>234</xdr:row>
      <xdr:rowOff>30345</xdr:rowOff>
    </xdr:from>
    <xdr:to>
      <xdr:col>12</xdr:col>
      <xdr:colOff>889020</xdr:colOff>
      <xdr:row>234</xdr:row>
      <xdr:rowOff>452820</xdr:rowOff>
    </xdr:to>
    <xdr:pic>
      <xdr:nvPicPr>
        <xdr:cNvPr id="627" name="Picture 626">
          <a:extLst>
            <a:ext uri="{FF2B5EF4-FFF2-40B4-BE49-F238E27FC236}">
              <a16:creationId xmlns:a16="http://schemas.microsoft.com/office/drawing/2014/main" id="{64721021-2B17-403D-9327-3A67730818D1}"/>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811431" y="106894041"/>
          <a:ext cx="432000" cy="422475"/>
        </a:xfrm>
        <a:prstGeom prst="rect">
          <a:avLst/>
        </a:prstGeom>
        <a:ln>
          <a:solidFill>
            <a:schemeClr val="tx1"/>
          </a:solidFill>
        </a:ln>
      </xdr:spPr>
    </xdr:pic>
    <xdr:clientData/>
  </xdr:twoCellAnchor>
  <xdr:twoCellAnchor>
    <xdr:from>
      <xdr:col>12</xdr:col>
      <xdr:colOff>442075</xdr:colOff>
      <xdr:row>246</xdr:row>
      <xdr:rowOff>12109</xdr:rowOff>
    </xdr:from>
    <xdr:to>
      <xdr:col>12</xdr:col>
      <xdr:colOff>874075</xdr:colOff>
      <xdr:row>246</xdr:row>
      <xdr:rowOff>444806</xdr:rowOff>
    </xdr:to>
    <xdr:pic>
      <xdr:nvPicPr>
        <xdr:cNvPr id="628" name="Picture 627">
          <a:extLst>
            <a:ext uri="{FF2B5EF4-FFF2-40B4-BE49-F238E27FC236}">
              <a16:creationId xmlns:a16="http://schemas.microsoft.com/office/drawing/2014/main" id="{603DD1E4-7257-4434-9F58-0E235AC2B048}"/>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96486" y="101405734"/>
          <a:ext cx="432000" cy="432697"/>
        </a:xfrm>
        <a:prstGeom prst="rect">
          <a:avLst/>
        </a:prstGeom>
        <a:noFill/>
      </xdr:spPr>
    </xdr:pic>
    <xdr:clientData/>
  </xdr:twoCellAnchor>
  <xdr:twoCellAnchor>
    <xdr:from>
      <xdr:col>12</xdr:col>
      <xdr:colOff>433003</xdr:colOff>
      <xdr:row>247</xdr:row>
      <xdr:rowOff>21270</xdr:rowOff>
    </xdr:from>
    <xdr:to>
      <xdr:col>12</xdr:col>
      <xdr:colOff>865003</xdr:colOff>
      <xdr:row>247</xdr:row>
      <xdr:rowOff>443745</xdr:rowOff>
    </xdr:to>
    <xdr:pic>
      <xdr:nvPicPr>
        <xdr:cNvPr id="629" name="Picture 628">
          <a:extLst>
            <a:ext uri="{FF2B5EF4-FFF2-40B4-BE49-F238E27FC236}">
              <a16:creationId xmlns:a16="http://schemas.microsoft.com/office/drawing/2014/main" id="{F0C7A444-A80E-444D-B49B-7E0CCD83DCC3}"/>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01870734"/>
          <a:ext cx="432000" cy="422475"/>
        </a:xfrm>
        <a:prstGeom prst="rect">
          <a:avLst/>
        </a:prstGeom>
        <a:noFill/>
      </xdr:spPr>
    </xdr:pic>
    <xdr:clientData/>
  </xdr:twoCellAnchor>
  <xdr:twoCellAnchor>
    <xdr:from>
      <xdr:col>12</xdr:col>
      <xdr:colOff>445477</xdr:colOff>
      <xdr:row>235</xdr:row>
      <xdr:rowOff>22677</xdr:rowOff>
    </xdr:from>
    <xdr:to>
      <xdr:col>12</xdr:col>
      <xdr:colOff>877477</xdr:colOff>
      <xdr:row>235</xdr:row>
      <xdr:rowOff>445152</xdr:rowOff>
    </xdr:to>
    <xdr:pic>
      <xdr:nvPicPr>
        <xdr:cNvPr id="630" name="Picture 629">
          <a:extLst>
            <a:ext uri="{FF2B5EF4-FFF2-40B4-BE49-F238E27FC236}">
              <a16:creationId xmlns:a16="http://schemas.microsoft.com/office/drawing/2014/main" id="{CCCAB288-8565-484B-927D-4C6CD3212B35}"/>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0960463"/>
          <a:ext cx="432000" cy="422475"/>
        </a:xfrm>
        <a:prstGeom prst="rect">
          <a:avLst/>
        </a:prstGeom>
        <a:noFill/>
      </xdr:spPr>
    </xdr:pic>
    <xdr:clientData/>
  </xdr:twoCellAnchor>
  <xdr:twoCellAnchor>
    <xdr:from>
      <xdr:col>12</xdr:col>
      <xdr:colOff>442232</xdr:colOff>
      <xdr:row>248</xdr:row>
      <xdr:rowOff>15874</xdr:rowOff>
    </xdr:from>
    <xdr:to>
      <xdr:col>12</xdr:col>
      <xdr:colOff>874232</xdr:colOff>
      <xdr:row>248</xdr:row>
      <xdr:rowOff>447874</xdr:rowOff>
    </xdr:to>
    <xdr:pic>
      <xdr:nvPicPr>
        <xdr:cNvPr id="631" name="Picture 630">
          <a:extLst>
            <a:ext uri="{FF2B5EF4-FFF2-40B4-BE49-F238E27FC236}">
              <a16:creationId xmlns:a16="http://schemas.microsoft.com/office/drawing/2014/main" id="{C7575392-41DB-4CC7-ADE1-9831E108BA20}"/>
            </a:ext>
          </a:extLst>
        </xdr:cNvPr>
        <xdr:cNvPicPr>
          <a:picLocks noChangeAspect="1"/>
        </xdr:cNvPicPr>
      </xdr:nvPicPr>
      <xdr:blipFill>
        <a:blip xmlns:r="http://schemas.openxmlformats.org/officeDocument/2006/relationships" r:embed="rId19"/>
        <a:stretch>
          <a:fillRect/>
        </a:stretch>
      </xdr:blipFill>
      <xdr:spPr>
        <a:xfrm>
          <a:off x="5796643" y="102321178"/>
          <a:ext cx="432000" cy="432000"/>
        </a:xfrm>
        <a:prstGeom prst="rect">
          <a:avLst/>
        </a:prstGeom>
      </xdr:spPr>
    </xdr:pic>
    <xdr:clientData/>
  </xdr:twoCellAnchor>
  <xdr:twoCellAnchor>
    <xdr:from>
      <xdr:col>12</xdr:col>
      <xdr:colOff>450013</xdr:colOff>
      <xdr:row>249</xdr:row>
      <xdr:rowOff>21543</xdr:rowOff>
    </xdr:from>
    <xdr:to>
      <xdr:col>12</xdr:col>
      <xdr:colOff>882013</xdr:colOff>
      <xdr:row>249</xdr:row>
      <xdr:rowOff>453543</xdr:rowOff>
    </xdr:to>
    <xdr:pic>
      <xdr:nvPicPr>
        <xdr:cNvPr id="632" name="Picture 631" descr="hair protection">
          <a:extLst>
            <a:ext uri="{FF2B5EF4-FFF2-40B4-BE49-F238E27FC236}">
              <a16:creationId xmlns:a16="http://schemas.microsoft.com/office/drawing/2014/main" id="{64907963-8C76-4322-A2D9-9F6C08BAEE1F}"/>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02782686"/>
          <a:ext cx="432000" cy="432000"/>
        </a:xfrm>
        <a:prstGeom prst="rect">
          <a:avLst/>
        </a:prstGeom>
        <a:noFill/>
        <a:ln>
          <a:noFill/>
        </a:ln>
      </xdr:spPr>
    </xdr:pic>
    <xdr:clientData/>
  </xdr:twoCellAnchor>
  <xdr:twoCellAnchor>
    <xdr:from>
      <xdr:col>12</xdr:col>
      <xdr:colOff>430735</xdr:colOff>
      <xdr:row>250</xdr:row>
      <xdr:rowOff>23811</xdr:rowOff>
    </xdr:from>
    <xdr:to>
      <xdr:col>12</xdr:col>
      <xdr:colOff>862735</xdr:colOff>
      <xdr:row>250</xdr:row>
      <xdr:rowOff>446286</xdr:rowOff>
    </xdr:to>
    <xdr:pic>
      <xdr:nvPicPr>
        <xdr:cNvPr id="633" name="Picture 632" descr="head protection">
          <a:extLst>
            <a:ext uri="{FF2B5EF4-FFF2-40B4-BE49-F238E27FC236}">
              <a16:creationId xmlns:a16="http://schemas.microsoft.com/office/drawing/2014/main" id="{E1434383-14B4-4D7F-9A5D-16E345034727}"/>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03240793"/>
          <a:ext cx="432000" cy="422475"/>
        </a:xfrm>
        <a:prstGeom prst="rect">
          <a:avLst/>
        </a:prstGeom>
        <a:noFill/>
        <a:ln>
          <a:noFill/>
        </a:ln>
      </xdr:spPr>
    </xdr:pic>
    <xdr:clientData/>
  </xdr:twoCellAnchor>
  <xdr:twoCellAnchor>
    <xdr:from>
      <xdr:col>12</xdr:col>
      <xdr:colOff>481990</xdr:colOff>
      <xdr:row>253</xdr:row>
      <xdr:rowOff>20408</xdr:rowOff>
    </xdr:from>
    <xdr:to>
      <xdr:col>12</xdr:col>
      <xdr:colOff>913990</xdr:colOff>
      <xdr:row>253</xdr:row>
      <xdr:rowOff>442883</xdr:rowOff>
    </xdr:to>
    <xdr:pic>
      <xdr:nvPicPr>
        <xdr:cNvPr id="634" name="Picture 633">
          <a:extLst>
            <a:ext uri="{FF2B5EF4-FFF2-40B4-BE49-F238E27FC236}">
              <a16:creationId xmlns:a16="http://schemas.microsoft.com/office/drawing/2014/main" id="{66F8D10F-F74C-4ABB-8BB3-00F36469B2D1}"/>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04604908"/>
          <a:ext cx="432000" cy="422475"/>
        </a:xfrm>
        <a:prstGeom prst="rect">
          <a:avLst/>
        </a:prstGeom>
        <a:noFill/>
        <a:ln>
          <a:noFill/>
        </a:ln>
      </xdr:spPr>
    </xdr:pic>
    <xdr:clientData/>
  </xdr:twoCellAnchor>
  <xdr:twoCellAnchor>
    <xdr:from>
      <xdr:col>12</xdr:col>
      <xdr:colOff>476094</xdr:colOff>
      <xdr:row>255</xdr:row>
      <xdr:rowOff>18142</xdr:rowOff>
    </xdr:from>
    <xdr:to>
      <xdr:col>12</xdr:col>
      <xdr:colOff>908094</xdr:colOff>
      <xdr:row>255</xdr:row>
      <xdr:rowOff>440617</xdr:rowOff>
    </xdr:to>
    <xdr:pic>
      <xdr:nvPicPr>
        <xdr:cNvPr id="635" name="Picture 634" descr="safety vests">
          <a:extLst>
            <a:ext uri="{FF2B5EF4-FFF2-40B4-BE49-F238E27FC236}">
              <a16:creationId xmlns:a16="http://schemas.microsoft.com/office/drawing/2014/main" id="{648C3813-4352-4B12-B302-0BBDB8B0A91C}"/>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830505" y="105514321"/>
          <a:ext cx="432000" cy="422475"/>
        </a:xfrm>
        <a:prstGeom prst="rect">
          <a:avLst/>
        </a:prstGeom>
        <a:noFill/>
        <a:ln>
          <a:noFill/>
        </a:ln>
      </xdr:spPr>
    </xdr:pic>
    <xdr:clientData/>
  </xdr:twoCellAnchor>
  <xdr:twoCellAnchor>
    <xdr:from>
      <xdr:col>12</xdr:col>
      <xdr:colOff>479048</xdr:colOff>
      <xdr:row>251</xdr:row>
      <xdr:rowOff>18541</xdr:rowOff>
    </xdr:from>
    <xdr:to>
      <xdr:col>12</xdr:col>
      <xdr:colOff>911048</xdr:colOff>
      <xdr:row>251</xdr:row>
      <xdr:rowOff>441016</xdr:rowOff>
    </xdr:to>
    <xdr:pic>
      <xdr:nvPicPr>
        <xdr:cNvPr id="636" name="Picture 635">
          <a:extLst>
            <a:ext uri="{FF2B5EF4-FFF2-40B4-BE49-F238E27FC236}">
              <a16:creationId xmlns:a16="http://schemas.microsoft.com/office/drawing/2014/main" id="{5266FB04-4B67-4227-B413-D07B812CF235}"/>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33459" y="103691362"/>
          <a:ext cx="432000" cy="422475"/>
        </a:xfrm>
        <a:prstGeom prst="rect">
          <a:avLst/>
        </a:prstGeom>
        <a:noFill/>
      </xdr:spPr>
    </xdr:pic>
    <xdr:clientData/>
  </xdr:twoCellAnchor>
  <xdr:twoCellAnchor>
    <xdr:from>
      <xdr:col>12</xdr:col>
      <xdr:colOff>472691</xdr:colOff>
      <xdr:row>252</xdr:row>
      <xdr:rowOff>20410</xdr:rowOff>
    </xdr:from>
    <xdr:to>
      <xdr:col>12</xdr:col>
      <xdr:colOff>905440</xdr:colOff>
      <xdr:row>252</xdr:row>
      <xdr:rowOff>452410</xdr:rowOff>
    </xdr:to>
    <xdr:pic>
      <xdr:nvPicPr>
        <xdr:cNvPr id="637" name="Picture 636">
          <a:extLst>
            <a:ext uri="{FF2B5EF4-FFF2-40B4-BE49-F238E27FC236}">
              <a16:creationId xmlns:a16="http://schemas.microsoft.com/office/drawing/2014/main" id="{0D49A00E-3FC7-49A3-A016-D86109E5BFE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827102" y="104149071"/>
          <a:ext cx="432749" cy="432000"/>
        </a:xfrm>
        <a:prstGeom prst="rect">
          <a:avLst/>
        </a:prstGeom>
      </xdr:spPr>
    </xdr:pic>
    <xdr:clientData/>
  </xdr:twoCellAnchor>
  <xdr:twoCellAnchor>
    <xdr:from>
      <xdr:col>12</xdr:col>
      <xdr:colOff>476250</xdr:colOff>
      <xdr:row>254</xdr:row>
      <xdr:rowOff>17010</xdr:rowOff>
    </xdr:from>
    <xdr:to>
      <xdr:col>12</xdr:col>
      <xdr:colOff>908250</xdr:colOff>
      <xdr:row>254</xdr:row>
      <xdr:rowOff>449010</xdr:rowOff>
    </xdr:to>
    <xdr:pic>
      <xdr:nvPicPr>
        <xdr:cNvPr id="638" name="Picture 637">
          <a:extLst>
            <a:ext uri="{FF2B5EF4-FFF2-40B4-BE49-F238E27FC236}">
              <a16:creationId xmlns:a16="http://schemas.microsoft.com/office/drawing/2014/main" id="{CF76731F-FBCC-4DD3-B554-33C51192BEB2}"/>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830661" y="105057349"/>
          <a:ext cx="432000" cy="432000"/>
        </a:xfrm>
        <a:prstGeom prst="rect">
          <a:avLst/>
        </a:prstGeom>
      </xdr:spPr>
    </xdr:pic>
    <xdr:clientData/>
  </xdr:twoCellAnchor>
  <xdr:twoCellAnchor>
    <xdr:from>
      <xdr:col>12</xdr:col>
      <xdr:colOff>436563</xdr:colOff>
      <xdr:row>256</xdr:row>
      <xdr:rowOff>17008</xdr:rowOff>
    </xdr:from>
    <xdr:to>
      <xdr:col>12</xdr:col>
      <xdr:colOff>868563</xdr:colOff>
      <xdr:row>256</xdr:row>
      <xdr:rowOff>449008</xdr:rowOff>
    </xdr:to>
    <xdr:pic>
      <xdr:nvPicPr>
        <xdr:cNvPr id="639" name="Picture 638">
          <a:extLst>
            <a:ext uri="{FF2B5EF4-FFF2-40B4-BE49-F238E27FC236}">
              <a16:creationId xmlns:a16="http://schemas.microsoft.com/office/drawing/2014/main" id="{DBBE9F77-9CFD-459E-A442-161EBBFC84EE}"/>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790974" y="105969026"/>
          <a:ext cx="432000" cy="432000"/>
        </a:xfrm>
        <a:prstGeom prst="rect">
          <a:avLst/>
        </a:prstGeom>
      </xdr:spPr>
    </xdr:pic>
    <xdr:clientData/>
  </xdr:twoCellAnchor>
  <xdr:twoCellAnchor>
    <xdr:from>
      <xdr:col>12</xdr:col>
      <xdr:colOff>443370</xdr:colOff>
      <xdr:row>257</xdr:row>
      <xdr:rowOff>17007</xdr:rowOff>
    </xdr:from>
    <xdr:to>
      <xdr:col>12</xdr:col>
      <xdr:colOff>875370</xdr:colOff>
      <xdr:row>257</xdr:row>
      <xdr:rowOff>449007</xdr:rowOff>
    </xdr:to>
    <xdr:pic>
      <xdr:nvPicPr>
        <xdr:cNvPr id="640" name="Picture 639">
          <a:extLst>
            <a:ext uri="{FF2B5EF4-FFF2-40B4-BE49-F238E27FC236}">
              <a16:creationId xmlns:a16="http://schemas.microsoft.com/office/drawing/2014/main" id="{8D0FCC8F-E358-460A-96EA-AAE6BC501392}"/>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797781" y="106424864"/>
          <a:ext cx="432000" cy="432000"/>
        </a:xfrm>
        <a:prstGeom prst="rect">
          <a:avLst/>
        </a:prstGeom>
        <a:noFill/>
      </xdr:spPr>
    </xdr:pic>
    <xdr:clientData/>
  </xdr:twoCellAnchor>
  <xdr:twoCellAnchor>
    <xdr:from>
      <xdr:col>12</xdr:col>
      <xdr:colOff>457020</xdr:colOff>
      <xdr:row>258</xdr:row>
      <xdr:rowOff>30345</xdr:rowOff>
    </xdr:from>
    <xdr:to>
      <xdr:col>12</xdr:col>
      <xdr:colOff>889020</xdr:colOff>
      <xdr:row>258</xdr:row>
      <xdr:rowOff>452820</xdr:rowOff>
    </xdr:to>
    <xdr:pic>
      <xdr:nvPicPr>
        <xdr:cNvPr id="641" name="Picture 640">
          <a:extLst>
            <a:ext uri="{FF2B5EF4-FFF2-40B4-BE49-F238E27FC236}">
              <a16:creationId xmlns:a16="http://schemas.microsoft.com/office/drawing/2014/main" id="{058C569E-CDF0-4D6E-B954-4D39AEE9E1B3}"/>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811431" y="106894041"/>
          <a:ext cx="432000" cy="422475"/>
        </a:xfrm>
        <a:prstGeom prst="rect">
          <a:avLst/>
        </a:prstGeom>
        <a:ln>
          <a:solidFill>
            <a:schemeClr val="tx1"/>
          </a:solidFill>
        </a:ln>
      </xdr:spPr>
    </xdr:pic>
    <xdr:clientData/>
  </xdr:twoCellAnchor>
  <xdr:twoCellAnchor>
    <xdr:from>
      <xdr:col>12</xdr:col>
      <xdr:colOff>442075</xdr:colOff>
      <xdr:row>236</xdr:row>
      <xdr:rowOff>12109</xdr:rowOff>
    </xdr:from>
    <xdr:to>
      <xdr:col>12</xdr:col>
      <xdr:colOff>874075</xdr:colOff>
      <xdr:row>236</xdr:row>
      <xdr:rowOff>444806</xdr:rowOff>
    </xdr:to>
    <xdr:pic>
      <xdr:nvPicPr>
        <xdr:cNvPr id="642" name="Picture 641">
          <a:extLst>
            <a:ext uri="{FF2B5EF4-FFF2-40B4-BE49-F238E27FC236}">
              <a16:creationId xmlns:a16="http://schemas.microsoft.com/office/drawing/2014/main" id="{EC967AD7-8B9B-490A-882E-7A77D774CDF3}"/>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37682" y="105508288"/>
          <a:ext cx="432000" cy="432697"/>
        </a:xfrm>
        <a:prstGeom prst="rect">
          <a:avLst/>
        </a:prstGeom>
        <a:noFill/>
      </xdr:spPr>
    </xdr:pic>
    <xdr:clientData/>
  </xdr:twoCellAnchor>
  <xdr:twoCellAnchor>
    <xdr:from>
      <xdr:col>12</xdr:col>
      <xdr:colOff>433003</xdr:colOff>
      <xdr:row>237</xdr:row>
      <xdr:rowOff>21270</xdr:rowOff>
    </xdr:from>
    <xdr:to>
      <xdr:col>12</xdr:col>
      <xdr:colOff>865003</xdr:colOff>
      <xdr:row>237</xdr:row>
      <xdr:rowOff>443745</xdr:rowOff>
    </xdr:to>
    <xdr:pic>
      <xdr:nvPicPr>
        <xdr:cNvPr id="643" name="Picture 642">
          <a:extLst>
            <a:ext uri="{FF2B5EF4-FFF2-40B4-BE49-F238E27FC236}">
              <a16:creationId xmlns:a16="http://schemas.microsoft.com/office/drawing/2014/main" id="{CA007A9E-1234-4EB5-B3BC-741E5C7551AC}"/>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28610" y="105973288"/>
          <a:ext cx="432000" cy="422475"/>
        </a:xfrm>
        <a:prstGeom prst="rect">
          <a:avLst/>
        </a:prstGeom>
        <a:noFill/>
      </xdr:spPr>
    </xdr:pic>
    <xdr:clientData/>
  </xdr:twoCellAnchor>
  <xdr:twoCellAnchor>
    <xdr:from>
      <xdr:col>12</xdr:col>
      <xdr:colOff>442232</xdr:colOff>
      <xdr:row>238</xdr:row>
      <xdr:rowOff>15874</xdr:rowOff>
    </xdr:from>
    <xdr:to>
      <xdr:col>12</xdr:col>
      <xdr:colOff>874232</xdr:colOff>
      <xdr:row>238</xdr:row>
      <xdr:rowOff>447874</xdr:rowOff>
    </xdr:to>
    <xdr:pic>
      <xdr:nvPicPr>
        <xdr:cNvPr id="644" name="Picture 643">
          <a:extLst>
            <a:ext uri="{FF2B5EF4-FFF2-40B4-BE49-F238E27FC236}">
              <a16:creationId xmlns:a16="http://schemas.microsoft.com/office/drawing/2014/main" id="{CDF91CD9-4FA7-489B-99C4-8BBA5CF06DF4}"/>
            </a:ext>
          </a:extLst>
        </xdr:cNvPr>
        <xdr:cNvPicPr>
          <a:picLocks noChangeAspect="1"/>
        </xdr:cNvPicPr>
      </xdr:nvPicPr>
      <xdr:blipFill>
        <a:blip xmlns:r="http://schemas.openxmlformats.org/officeDocument/2006/relationships" r:embed="rId19"/>
        <a:stretch>
          <a:fillRect/>
        </a:stretch>
      </xdr:blipFill>
      <xdr:spPr>
        <a:xfrm>
          <a:off x="8837839" y="106423731"/>
          <a:ext cx="432000" cy="432000"/>
        </a:xfrm>
        <a:prstGeom prst="rect">
          <a:avLst/>
        </a:prstGeom>
      </xdr:spPr>
    </xdr:pic>
    <xdr:clientData/>
  </xdr:twoCellAnchor>
  <xdr:twoCellAnchor>
    <xdr:from>
      <xdr:col>12</xdr:col>
      <xdr:colOff>450013</xdr:colOff>
      <xdr:row>239</xdr:row>
      <xdr:rowOff>21543</xdr:rowOff>
    </xdr:from>
    <xdr:to>
      <xdr:col>12</xdr:col>
      <xdr:colOff>882013</xdr:colOff>
      <xdr:row>239</xdr:row>
      <xdr:rowOff>453543</xdr:rowOff>
    </xdr:to>
    <xdr:pic>
      <xdr:nvPicPr>
        <xdr:cNvPr id="645" name="Picture 644" descr="hair protection">
          <a:extLst>
            <a:ext uri="{FF2B5EF4-FFF2-40B4-BE49-F238E27FC236}">
              <a16:creationId xmlns:a16="http://schemas.microsoft.com/office/drawing/2014/main" id="{516AC0EC-105B-4377-AB81-B42FB4FE3826}"/>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5620" y="106885239"/>
          <a:ext cx="432000" cy="432000"/>
        </a:xfrm>
        <a:prstGeom prst="rect">
          <a:avLst/>
        </a:prstGeom>
        <a:noFill/>
        <a:ln>
          <a:noFill/>
        </a:ln>
      </xdr:spPr>
    </xdr:pic>
    <xdr:clientData/>
  </xdr:twoCellAnchor>
  <xdr:twoCellAnchor>
    <xdr:from>
      <xdr:col>12</xdr:col>
      <xdr:colOff>430735</xdr:colOff>
      <xdr:row>240</xdr:row>
      <xdr:rowOff>23811</xdr:rowOff>
    </xdr:from>
    <xdr:to>
      <xdr:col>12</xdr:col>
      <xdr:colOff>862735</xdr:colOff>
      <xdr:row>240</xdr:row>
      <xdr:rowOff>446286</xdr:rowOff>
    </xdr:to>
    <xdr:pic>
      <xdr:nvPicPr>
        <xdr:cNvPr id="646" name="Picture 645" descr="head protection">
          <a:extLst>
            <a:ext uri="{FF2B5EF4-FFF2-40B4-BE49-F238E27FC236}">
              <a16:creationId xmlns:a16="http://schemas.microsoft.com/office/drawing/2014/main" id="{9C1B637F-34CE-4AAB-9317-61E201CF5EF3}"/>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26342" y="107343347"/>
          <a:ext cx="432000" cy="422475"/>
        </a:xfrm>
        <a:prstGeom prst="rect">
          <a:avLst/>
        </a:prstGeom>
        <a:noFill/>
        <a:ln>
          <a:noFill/>
        </a:ln>
      </xdr:spPr>
    </xdr:pic>
    <xdr:clientData/>
  </xdr:twoCellAnchor>
  <xdr:twoCellAnchor>
    <xdr:from>
      <xdr:col>12</xdr:col>
      <xdr:colOff>481990</xdr:colOff>
      <xdr:row>243</xdr:row>
      <xdr:rowOff>20408</xdr:rowOff>
    </xdr:from>
    <xdr:to>
      <xdr:col>12</xdr:col>
      <xdr:colOff>913990</xdr:colOff>
      <xdr:row>243</xdr:row>
      <xdr:rowOff>442883</xdr:rowOff>
    </xdr:to>
    <xdr:pic>
      <xdr:nvPicPr>
        <xdr:cNvPr id="647" name="Picture 646">
          <a:extLst>
            <a:ext uri="{FF2B5EF4-FFF2-40B4-BE49-F238E27FC236}">
              <a16:creationId xmlns:a16="http://schemas.microsoft.com/office/drawing/2014/main" id="{6644FDB4-7245-4E3E-AEAA-B8535992DEEE}"/>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8877597" y="108707462"/>
          <a:ext cx="432000" cy="422475"/>
        </a:xfrm>
        <a:prstGeom prst="rect">
          <a:avLst/>
        </a:prstGeom>
        <a:noFill/>
        <a:ln>
          <a:noFill/>
        </a:ln>
      </xdr:spPr>
    </xdr:pic>
    <xdr:clientData/>
  </xdr:twoCellAnchor>
  <xdr:twoCellAnchor>
    <xdr:from>
      <xdr:col>12</xdr:col>
      <xdr:colOff>476094</xdr:colOff>
      <xdr:row>245</xdr:row>
      <xdr:rowOff>18142</xdr:rowOff>
    </xdr:from>
    <xdr:to>
      <xdr:col>12</xdr:col>
      <xdr:colOff>908094</xdr:colOff>
      <xdr:row>245</xdr:row>
      <xdr:rowOff>440617</xdr:rowOff>
    </xdr:to>
    <xdr:pic>
      <xdr:nvPicPr>
        <xdr:cNvPr id="648" name="Picture 647" descr="safety vests">
          <a:extLst>
            <a:ext uri="{FF2B5EF4-FFF2-40B4-BE49-F238E27FC236}">
              <a16:creationId xmlns:a16="http://schemas.microsoft.com/office/drawing/2014/main" id="{20AE2A71-AA98-4795-8FC0-DD06A428033C}"/>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8871701" y="109616874"/>
          <a:ext cx="432000" cy="422475"/>
        </a:xfrm>
        <a:prstGeom prst="rect">
          <a:avLst/>
        </a:prstGeom>
        <a:noFill/>
        <a:ln>
          <a:noFill/>
        </a:ln>
      </xdr:spPr>
    </xdr:pic>
    <xdr:clientData/>
  </xdr:twoCellAnchor>
  <xdr:twoCellAnchor>
    <xdr:from>
      <xdr:col>12</xdr:col>
      <xdr:colOff>479048</xdr:colOff>
      <xdr:row>241</xdr:row>
      <xdr:rowOff>18541</xdr:rowOff>
    </xdr:from>
    <xdr:to>
      <xdr:col>12</xdr:col>
      <xdr:colOff>911048</xdr:colOff>
      <xdr:row>241</xdr:row>
      <xdr:rowOff>441016</xdr:rowOff>
    </xdr:to>
    <xdr:pic>
      <xdr:nvPicPr>
        <xdr:cNvPr id="649" name="Picture 648">
          <a:extLst>
            <a:ext uri="{FF2B5EF4-FFF2-40B4-BE49-F238E27FC236}">
              <a16:creationId xmlns:a16="http://schemas.microsoft.com/office/drawing/2014/main" id="{1A01A847-DECD-4FA7-AD29-F8489A7DF3BB}"/>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74655" y="107793916"/>
          <a:ext cx="432000" cy="422475"/>
        </a:xfrm>
        <a:prstGeom prst="rect">
          <a:avLst/>
        </a:prstGeom>
        <a:noFill/>
      </xdr:spPr>
    </xdr:pic>
    <xdr:clientData/>
  </xdr:twoCellAnchor>
  <xdr:twoCellAnchor>
    <xdr:from>
      <xdr:col>12</xdr:col>
      <xdr:colOff>472691</xdr:colOff>
      <xdr:row>242</xdr:row>
      <xdr:rowOff>20410</xdr:rowOff>
    </xdr:from>
    <xdr:to>
      <xdr:col>12</xdr:col>
      <xdr:colOff>905440</xdr:colOff>
      <xdr:row>242</xdr:row>
      <xdr:rowOff>452410</xdr:rowOff>
    </xdr:to>
    <xdr:pic>
      <xdr:nvPicPr>
        <xdr:cNvPr id="650" name="Picture 649">
          <a:extLst>
            <a:ext uri="{FF2B5EF4-FFF2-40B4-BE49-F238E27FC236}">
              <a16:creationId xmlns:a16="http://schemas.microsoft.com/office/drawing/2014/main" id="{80C2E9CD-9C65-4940-83EF-774009B3AE6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868298" y="108251624"/>
          <a:ext cx="432749" cy="432000"/>
        </a:xfrm>
        <a:prstGeom prst="rect">
          <a:avLst/>
        </a:prstGeom>
      </xdr:spPr>
    </xdr:pic>
    <xdr:clientData/>
  </xdr:twoCellAnchor>
  <xdr:twoCellAnchor>
    <xdr:from>
      <xdr:col>12</xdr:col>
      <xdr:colOff>476250</xdr:colOff>
      <xdr:row>244</xdr:row>
      <xdr:rowOff>17010</xdr:rowOff>
    </xdr:from>
    <xdr:to>
      <xdr:col>12</xdr:col>
      <xdr:colOff>908250</xdr:colOff>
      <xdr:row>244</xdr:row>
      <xdr:rowOff>449010</xdr:rowOff>
    </xdr:to>
    <xdr:pic>
      <xdr:nvPicPr>
        <xdr:cNvPr id="651" name="Picture 650">
          <a:extLst>
            <a:ext uri="{FF2B5EF4-FFF2-40B4-BE49-F238E27FC236}">
              <a16:creationId xmlns:a16="http://schemas.microsoft.com/office/drawing/2014/main" id="{A25003ED-60ED-4FDA-8941-B7077730D6A7}"/>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8871857" y="109159903"/>
          <a:ext cx="432000" cy="432000"/>
        </a:xfrm>
        <a:prstGeom prst="rect">
          <a:avLst/>
        </a:prstGeom>
      </xdr:spPr>
    </xdr:pic>
    <xdr:clientData/>
  </xdr:twoCellAnchor>
  <xdr:twoCellAnchor>
    <xdr:from>
      <xdr:col>12</xdr:col>
      <xdr:colOff>436563</xdr:colOff>
      <xdr:row>246</xdr:row>
      <xdr:rowOff>17008</xdr:rowOff>
    </xdr:from>
    <xdr:to>
      <xdr:col>12</xdr:col>
      <xdr:colOff>868563</xdr:colOff>
      <xdr:row>246</xdr:row>
      <xdr:rowOff>449008</xdr:rowOff>
    </xdr:to>
    <xdr:pic>
      <xdr:nvPicPr>
        <xdr:cNvPr id="652" name="Picture 651">
          <a:extLst>
            <a:ext uri="{FF2B5EF4-FFF2-40B4-BE49-F238E27FC236}">
              <a16:creationId xmlns:a16="http://schemas.microsoft.com/office/drawing/2014/main" id="{5F349DBE-7A42-420B-9D25-57BF1CBEC7A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8832170" y="110071579"/>
          <a:ext cx="432000" cy="432000"/>
        </a:xfrm>
        <a:prstGeom prst="rect">
          <a:avLst/>
        </a:prstGeom>
      </xdr:spPr>
    </xdr:pic>
    <xdr:clientData/>
  </xdr:twoCellAnchor>
  <xdr:twoCellAnchor>
    <xdr:from>
      <xdr:col>12</xdr:col>
      <xdr:colOff>443370</xdr:colOff>
      <xdr:row>247</xdr:row>
      <xdr:rowOff>17007</xdr:rowOff>
    </xdr:from>
    <xdr:to>
      <xdr:col>12</xdr:col>
      <xdr:colOff>875370</xdr:colOff>
      <xdr:row>247</xdr:row>
      <xdr:rowOff>449007</xdr:rowOff>
    </xdr:to>
    <xdr:pic>
      <xdr:nvPicPr>
        <xdr:cNvPr id="653" name="Picture 652">
          <a:extLst>
            <a:ext uri="{FF2B5EF4-FFF2-40B4-BE49-F238E27FC236}">
              <a16:creationId xmlns:a16="http://schemas.microsoft.com/office/drawing/2014/main" id="{E01BDADA-0F53-4A72-B6D2-64C53D930D09}"/>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8838977" y="110527418"/>
          <a:ext cx="432000" cy="432000"/>
        </a:xfrm>
        <a:prstGeom prst="rect">
          <a:avLst/>
        </a:prstGeom>
        <a:noFill/>
      </xdr:spPr>
    </xdr:pic>
    <xdr:clientData/>
  </xdr:twoCellAnchor>
  <xdr:twoCellAnchor>
    <xdr:from>
      <xdr:col>12</xdr:col>
      <xdr:colOff>457020</xdr:colOff>
      <xdr:row>248</xdr:row>
      <xdr:rowOff>30345</xdr:rowOff>
    </xdr:from>
    <xdr:to>
      <xdr:col>12</xdr:col>
      <xdr:colOff>889020</xdr:colOff>
      <xdr:row>248</xdr:row>
      <xdr:rowOff>452820</xdr:rowOff>
    </xdr:to>
    <xdr:pic>
      <xdr:nvPicPr>
        <xdr:cNvPr id="654" name="Picture 653">
          <a:extLst>
            <a:ext uri="{FF2B5EF4-FFF2-40B4-BE49-F238E27FC236}">
              <a16:creationId xmlns:a16="http://schemas.microsoft.com/office/drawing/2014/main" id="{8BA68EF7-5B6C-49EC-AACE-2DDC3E5B422B}"/>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852627" y="110996595"/>
          <a:ext cx="432000" cy="422475"/>
        </a:xfrm>
        <a:prstGeom prst="rect">
          <a:avLst/>
        </a:prstGeom>
        <a:ln>
          <a:solidFill>
            <a:schemeClr val="tx1"/>
          </a:solidFill>
        </a:ln>
      </xdr:spPr>
    </xdr:pic>
    <xdr:clientData/>
  </xdr:twoCellAnchor>
  <xdr:twoCellAnchor>
    <xdr:from>
      <xdr:col>9</xdr:col>
      <xdr:colOff>447902</xdr:colOff>
      <xdr:row>225</xdr:row>
      <xdr:rowOff>17690</xdr:rowOff>
    </xdr:from>
    <xdr:to>
      <xdr:col>9</xdr:col>
      <xdr:colOff>879902</xdr:colOff>
      <xdr:row>225</xdr:row>
      <xdr:rowOff>439792</xdr:rowOff>
    </xdr:to>
    <xdr:pic>
      <xdr:nvPicPr>
        <xdr:cNvPr id="655" name="Picture 654">
          <a:extLst>
            <a:ext uri="{FF2B5EF4-FFF2-40B4-BE49-F238E27FC236}">
              <a16:creationId xmlns:a16="http://schemas.microsoft.com/office/drawing/2014/main" id="{4404AF23-5E0C-4AB2-868B-E4EC5D8CCDC3}"/>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226</xdr:row>
      <xdr:rowOff>17690</xdr:rowOff>
    </xdr:from>
    <xdr:to>
      <xdr:col>9</xdr:col>
      <xdr:colOff>879902</xdr:colOff>
      <xdr:row>226</xdr:row>
      <xdr:rowOff>439792</xdr:rowOff>
    </xdr:to>
    <xdr:pic>
      <xdr:nvPicPr>
        <xdr:cNvPr id="656" name="Picture 655">
          <a:extLst>
            <a:ext uri="{FF2B5EF4-FFF2-40B4-BE49-F238E27FC236}">
              <a16:creationId xmlns:a16="http://schemas.microsoft.com/office/drawing/2014/main" id="{935FD118-D564-488C-B872-450BA01048CD}"/>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227</xdr:row>
      <xdr:rowOff>17690</xdr:rowOff>
    </xdr:from>
    <xdr:to>
      <xdr:col>9</xdr:col>
      <xdr:colOff>879902</xdr:colOff>
      <xdr:row>227</xdr:row>
      <xdr:rowOff>439792</xdr:rowOff>
    </xdr:to>
    <xdr:pic>
      <xdr:nvPicPr>
        <xdr:cNvPr id="657" name="Picture 656">
          <a:extLst>
            <a:ext uri="{FF2B5EF4-FFF2-40B4-BE49-F238E27FC236}">
              <a16:creationId xmlns:a16="http://schemas.microsoft.com/office/drawing/2014/main" id="{EFB8FBC7-B4AA-4327-B1F9-77DD35FC4391}"/>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228</xdr:row>
      <xdr:rowOff>17690</xdr:rowOff>
    </xdr:from>
    <xdr:to>
      <xdr:col>9</xdr:col>
      <xdr:colOff>879902</xdr:colOff>
      <xdr:row>228</xdr:row>
      <xdr:rowOff>439792</xdr:rowOff>
    </xdr:to>
    <xdr:pic>
      <xdr:nvPicPr>
        <xdr:cNvPr id="658" name="Picture 657">
          <a:extLst>
            <a:ext uri="{FF2B5EF4-FFF2-40B4-BE49-F238E27FC236}">
              <a16:creationId xmlns:a16="http://schemas.microsoft.com/office/drawing/2014/main" id="{12C53046-4038-4F1E-B3E5-6918D36BBEAC}"/>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229</xdr:row>
      <xdr:rowOff>17690</xdr:rowOff>
    </xdr:from>
    <xdr:to>
      <xdr:col>9</xdr:col>
      <xdr:colOff>879902</xdr:colOff>
      <xdr:row>229</xdr:row>
      <xdr:rowOff>439792</xdr:rowOff>
    </xdr:to>
    <xdr:pic>
      <xdr:nvPicPr>
        <xdr:cNvPr id="659" name="Picture 658">
          <a:extLst>
            <a:ext uri="{FF2B5EF4-FFF2-40B4-BE49-F238E27FC236}">
              <a16:creationId xmlns:a16="http://schemas.microsoft.com/office/drawing/2014/main" id="{15866D0B-8F23-4150-8808-8898D9E7E1D2}"/>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230</xdr:row>
      <xdr:rowOff>17690</xdr:rowOff>
    </xdr:from>
    <xdr:to>
      <xdr:col>9</xdr:col>
      <xdr:colOff>879902</xdr:colOff>
      <xdr:row>230</xdr:row>
      <xdr:rowOff>439792</xdr:rowOff>
    </xdr:to>
    <xdr:pic>
      <xdr:nvPicPr>
        <xdr:cNvPr id="660" name="Picture 659">
          <a:extLst>
            <a:ext uri="{FF2B5EF4-FFF2-40B4-BE49-F238E27FC236}">
              <a16:creationId xmlns:a16="http://schemas.microsoft.com/office/drawing/2014/main" id="{B1A5759F-64A1-4570-AED0-A7C49BADFE56}"/>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231</xdr:row>
      <xdr:rowOff>17690</xdr:rowOff>
    </xdr:from>
    <xdr:to>
      <xdr:col>9</xdr:col>
      <xdr:colOff>879902</xdr:colOff>
      <xdr:row>231</xdr:row>
      <xdr:rowOff>439792</xdr:rowOff>
    </xdr:to>
    <xdr:pic>
      <xdr:nvPicPr>
        <xdr:cNvPr id="661" name="Picture 660">
          <a:extLst>
            <a:ext uri="{FF2B5EF4-FFF2-40B4-BE49-F238E27FC236}">
              <a16:creationId xmlns:a16="http://schemas.microsoft.com/office/drawing/2014/main" id="{575AF42D-283C-41EE-9664-A2A164F050B2}"/>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232</xdr:row>
      <xdr:rowOff>17690</xdr:rowOff>
    </xdr:from>
    <xdr:to>
      <xdr:col>9</xdr:col>
      <xdr:colOff>879902</xdr:colOff>
      <xdr:row>232</xdr:row>
      <xdr:rowOff>439792</xdr:rowOff>
    </xdr:to>
    <xdr:pic>
      <xdr:nvPicPr>
        <xdr:cNvPr id="662" name="Picture 661">
          <a:extLst>
            <a:ext uri="{FF2B5EF4-FFF2-40B4-BE49-F238E27FC236}">
              <a16:creationId xmlns:a16="http://schemas.microsoft.com/office/drawing/2014/main" id="{359D25D5-BA7B-4FE1-8350-3D9F2E0CAA4E}"/>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233</xdr:row>
      <xdr:rowOff>17690</xdr:rowOff>
    </xdr:from>
    <xdr:to>
      <xdr:col>9</xdr:col>
      <xdr:colOff>879902</xdr:colOff>
      <xdr:row>233</xdr:row>
      <xdr:rowOff>439792</xdr:rowOff>
    </xdr:to>
    <xdr:pic>
      <xdr:nvPicPr>
        <xdr:cNvPr id="663" name="Picture 662">
          <a:extLst>
            <a:ext uri="{FF2B5EF4-FFF2-40B4-BE49-F238E27FC236}">
              <a16:creationId xmlns:a16="http://schemas.microsoft.com/office/drawing/2014/main" id="{BC29B4DF-1A34-4357-8586-2E5D2E24FFC3}"/>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447902</xdr:colOff>
      <xdr:row>234</xdr:row>
      <xdr:rowOff>17690</xdr:rowOff>
    </xdr:from>
    <xdr:to>
      <xdr:col>9</xdr:col>
      <xdr:colOff>879902</xdr:colOff>
      <xdr:row>234</xdr:row>
      <xdr:rowOff>439792</xdr:rowOff>
    </xdr:to>
    <xdr:pic>
      <xdr:nvPicPr>
        <xdr:cNvPr id="664" name="Picture 663">
          <a:extLst>
            <a:ext uri="{FF2B5EF4-FFF2-40B4-BE49-F238E27FC236}">
              <a16:creationId xmlns:a16="http://schemas.microsoft.com/office/drawing/2014/main" id="{F94EC3FA-E4B9-4C09-B9B4-6F54A9BBF22D}"/>
            </a:ext>
          </a:extLst>
        </xdr:cNvPr>
        <xdr:cNvPicPr>
          <a:picLocks noChangeAspect="1"/>
        </xdr:cNvPicPr>
      </xdr:nvPicPr>
      <xdr:blipFill>
        <a:blip xmlns:r="http://schemas.openxmlformats.org/officeDocument/2006/relationships" r:embed="rId15"/>
        <a:stretch>
          <a:fillRect/>
        </a:stretch>
      </xdr:blipFill>
      <xdr:spPr>
        <a:xfrm>
          <a:off x="5802313" y="95485404"/>
          <a:ext cx="432000" cy="422102"/>
        </a:xfrm>
        <a:prstGeom prst="rect">
          <a:avLst/>
        </a:prstGeom>
      </xdr:spPr>
    </xdr:pic>
    <xdr:clientData/>
  </xdr:twoCellAnchor>
  <xdr:twoCellAnchor>
    <xdr:from>
      <xdr:col>9</xdr:col>
      <xdr:colOff>447901</xdr:colOff>
      <xdr:row>236</xdr:row>
      <xdr:rowOff>20411</xdr:rowOff>
    </xdr:from>
    <xdr:to>
      <xdr:col>9</xdr:col>
      <xdr:colOff>879901</xdr:colOff>
      <xdr:row>236</xdr:row>
      <xdr:rowOff>452038</xdr:rowOff>
    </xdr:to>
    <xdr:pic>
      <xdr:nvPicPr>
        <xdr:cNvPr id="665" name="Picture 664">
          <a:extLst>
            <a:ext uri="{FF2B5EF4-FFF2-40B4-BE49-F238E27FC236}">
              <a16:creationId xmlns:a16="http://schemas.microsoft.com/office/drawing/2014/main" id="{405F0CFD-B312-4C31-B3D6-DFB28E496FE1}"/>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237</xdr:row>
      <xdr:rowOff>20411</xdr:rowOff>
    </xdr:from>
    <xdr:to>
      <xdr:col>9</xdr:col>
      <xdr:colOff>879901</xdr:colOff>
      <xdr:row>237</xdr:row>
      <xdr:rowOff>452038</xdr:rowOff>
    </xdr:to>
    <xdr:pic>
      <xdr:nvPicPr>
        <xdr:cNvPr id="666" name="Picture 665">
          <a:extLst>
            <a:ext uri="{FF2B5EF4-FFF2-40B4-BE49-F238E27FC236}">
              <a16:creationId xmlns:a16="http://schemas.microsoft.com/office/drawing/2014/main" id="{84C3F84E-DFD1-4EEB-82BE-317DA3FCBFE1}"/>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238</xdr:row>
      <xdr:rowOff>20411</xdr:rowOff>
    </xdr:from>
    <xdr:to>
      <xdr:col>9</xdr:col>
      <xdr:colOff>879901</xdr:colOff>
      <xdr:row>238</xdr:row>
      <xdr:rowOff>452038</xdr:rowOff>
    </xdr:to>
    <xdr:pic>
      <xdr:nvPicPr>
        <xdr:cNvPr id="667" name="Picture 666">
          <a:extLst>
            <a:ext uri="{FF2B5EF4-FFF2-40B4-BE49-F238E27FC236}">
              <a16:creationId xmlns:a16="http://schemas.microsoft.com/office/drawing/2014/main" id="{822C80A4-9100-4A54-A6E7-51169A41E6D6}"/>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239</xdr:row>
      <xdr:rowOff>20411</xdr:rowOff>
    </xdr:from>
    <xdr:to>
      <xdr:col>9</xdr:col>
      <xdr:colOff>879901</xdr:colOff>
      <xdr:row>239</xdr:row>
      <xdr:rowOff>452038</xdr:rowOff>
    </xdr:to>
    <xdr:pic>
      <xdr:nvPicPr>
        <xdr:cNvPr id="668" name="Picture 667">
          <a:extLst>
            <a:ext uri="{FF2B5EF4-FFF2-40B4-BE49-F238E27FC236}">
              <a16:creationId xmlns:a16="http://schemas.microsoft.com/office/drawing/2014/main" id="{CC77BD46-6B90-47B5-A8BD-1148F7C441E3}"/>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240</xdr:row>
      <xdr:rowOff>20411</xdr:rowOff>
    </xdr:from>
    <xdr:to>
      <xdr:col>9</xdr:col>
      <xdr:colOff>879901</xdr:colOff>
      <xdr:row>240</xdr:row>
      <xdr:rowOff>452038</xdr:rowOff>
    </xdr:to>
    <xdr:pic>
      <xdr:nvPicPr>
        <xdr:cNvPr id="669" name="Picture 668">
          <a:extLst>
            <a:ext uri="{FF2B5EF4-FFF2-40B4-BE49-F238E27FC236}">
              <a16:creationId xmlns:a16="http://schemas.microsoft.com/office/drawing/2014/main" id="{6240EB3D-41EB-4A13-B971-A5A5AF08A8B8}"/>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241</xdr:row>
      <xdr:rowOff>20411</xdr:rowOff>
    </xdr:from>
    <xdr:to>
      <xdr:col>9</xdr:col>
      <xdr:colOff>879901</xdr:colOff>
      <xdr:row>241</xdr:row>
      <xdr:rowOff>452038</xdr:rowOff>
    </xdr:to>
    <xdr:pic>
      <xdr:nvPicPr>
        <xdr:cNvPr id="670" name="Picture 669">
          <a:extLst>
            <a:ext uri="{FF2B5EF4-FFF2-40B4-BE49-F238E27FC236}">
              <a16:creationId xmlns:a16="http://schemas.microsoft.com/office/drawing/2014/main" id="{72C3985D-04E5-4E46-A48C-B21B0BA804A9}"/>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242</xdr:row>
      <xdr:rowOff>20411</xdr:rowOff>
    </xdr:from>
    <xdr:to>
      <xdr:col>9</xdr:col>
      <xdr:colOff>879901</xdr:colOff>
      <xdr:row>242</xdr:row>
      <xdr:rowOff>452038</xdr:rowOff>
    </xdr:to>
    <xdr:pic>
      <xdr:nvPicPr>
        <xdr:cNvPr id="671" name="Picture 670">
          <a:extLst>
            <a:ext uri="{FF2B5EF4-FFF2-40B4-BE49-F238E27FC236}">
              <a16:creationId xmlns:a16="http://schemas.microsoft.com/office/drawing/2014/main" id="{CAFDFE33-EE0F-4B2B-ABA3-C6FA50CDA198}"/>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243</xdr:row>
      <xdr:rowOff>20411</xdr:rowOff>
    </xdr:from>
    <xdr:to>
      <xdr:col>9</xdr:col>
      <xdr:colOff>879901</xdr:colOff>
      <xdr:row>243</xdr:row>
      <xdr:rowOff>452038</xdr:rowOff>
    </xdr:to>
    <xdr:pic>
      <xdr:nvPicPr>
        <xdr:cNvPr id="672" name="Picture 671">
          <a:extLst>
            <a:ext uri="{FF2B5EF4-FFF2-40B4-BE49-F238E27FC236}">
              <a16:creationId xmlns:a16="http://schemas.microsoft.com/office/drawing/2014/main" id="{80D786EE-001D-4C4A-9421-B065CE4B16E6}"/>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244</xdr:row>
      <xdr:rowOff>20411</xdr:rowOff>
    </xdr:from>
    <xdr:to>
      <xdr:col>9</xdr:col>
      <xdr:colOff>879901</xdr:colOff>
      <xdr:row>244</xdr:row>
      <xdr:rowOff>452038</xdr:rowOff>
    </xdr:to>
    <xdr:pic>
      <xdr:nvPicPr>
        <xdr:cNvPr id="673" name="Picture 672">
          <a:extLst>
            <a:ext uri="{FF2B5EF4-FFF2-40B4-BE49-F238E27FC236}">
              <a16:creationId xmlns:a16="http://schemas.microsoft.com/office/drawing/2014/main" id="{C90844B1-FB1A-4CD5-8687-06696F33F6D8}"/>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245</xdr:row>
      <xdr:rowOff>20411</xdr:rowOff>
    </xdr:from>
    <xdr:to>
      <xdr:col>9</xdr:col>
      <xdr:colOff>879901</xdr:colOff>
      <xdr:row>245</xdr:row>
      <xdr:rowOff>452038</xdr:rowOff>
    </xdr:to>
    <xdr:pic>
      <xdr:nvPicPr>
        <xdr:cNvPr id="674" name="Picture 673">
          <a:extLst>
            <a:ext uri="{FF2B5EF4-FFF2-40B4-BE49-F238E27FC236}">
              <a16:creationId xmlns:a16="http://schemas.microsoft.com/office/drawing/2014/main" id="{CCDFE44E-697E-483F-8B9E-EAA6657DE47C}"/>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246</xdr:row>
      <xdr:rowOff>20411</xdr:rowOff>
    </xdr:from>
    <xdr:to>
      <xdr:col>9</xdr:col>
      <xdr:colOff>879901</xdr:colOff>
      <xdr:row>246</xdr:row>
      <xdr:rowOff>452038</xdr:rowOff>
    </xdr:to>
    <xdr:pic>
      <xdr:nvPicPr>
        <xdr:cNvPr id="675" name="Picture 674">
          <a:extLst>
            <a:ext uri="{FF2B5EF4-FFF2-40B4-BE49-F238E27FC236}">
              <a16:creationId xmlns:a16="http://schemas.microsoft.com/office/drawing/2014/main" id="{BDA19A5C-97D5-48C5-BDF1-13116BE24374}"/>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247</xdr:row>
      <xdr:rowOff>20411</xdr:rowOff>
    </xdr:from>
    <xdr:to>
      <xdr:col>9</xdr:col>
      <xdr:colOff>879901</xdr:colOff>
      <xdr:row>247</xdr:row>
      <xdr:rowOff>452038</xdr:rowOff>
    </xdr:to>
    <xdr:pic>
      <xdr:nvPicPr>
        <xdr:cNvPr id="676" name="Picture 675">
          <a:extLst>
            <a:ext uri="{FF2B5EF4-FFF2-40B4-BE49-F238E27FC236}">
              <a16:creationId xmlns:a16="http://schemas.microsoft.com/office/drawing/2014/main" id="{3E749EE5-4DAD-4565-85F8-0C3741BF9438}"/>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447901</xdr:colOff>
      <xdr:row>248</xdr:row>
      <xdr:rowOff>20411</xdr:rowOff>
    </xdr:from>
    <xdr:to>
      <xdr:col>9</xdr:col>
      <xdr:colOff>879901</xdr:colOff>
      <xdr:row>248</xdr:row>
      <xdr:rowOff>452038</xdr:rowOff>
    </xdr:to>
    <xdr:pic>
      <xdr:nvPicPr>
        <xdr:cNvPr id="677" name="Picture 676">
          <a:extLst>
            <a:ext uri="{FF2B5EF4-FFF2-40B4-BE49-F238E27FC236}">
              <a16:creationId xmlns:a16="http://schemas.microsoft.com/office/drawing/2014/main" id="{4A134E4A-F84F-40F7-9C44-EDA13A2DF082}"/>
            </a:ext>
          </a:extLst>
        </xdr:cNvPr>
        <xdr:cNvPicPr>
          <a:picLocks noChangeAspect="1"/>
        </xdr:cNvPicPr>
      </xdr:nvPicPr>
      <xdr:blipFill>
        <a:blip xmlns:r="http://schemas.openxmlformats.org/officeDocument/2006/relationships" r:embed="rId15"/>
        <a:stretch>
          <a:fillRect/>
        </a:stretch>
      </xdr:blipFill>
      <xdr:spPr>
        <a:xfrm>
          <a:off x="5802312" y="100502357"/>
          <a:ext cx="432000" cy="431627"/>
        </a:xfrm>
        <a:prstGeom prst="rect">
          <a:avLst/>
        </a:prstGeom>
      </xdr:spPr>
    </xdr:pic>
    <xdr:clientData/>
  </xdr:twoCellAnchor>
  <xdr:twoCellAnchor>
    <xdr:from>
      <xdr:col>9</xdr:col>
      <xdr:colOff>445477</xdr:colOff>
      <xdr:row>250</xdr:row>
      <xdr:rowOff>22677</xdr:rowOff>
    </xdr:from>
    <xdr:to>
      <xdr:col>9</xdr:col>
      <xdr:colOff>877477</xdr:colOff>
      <xdr:row>250</xdr:row>
      <xdr:rowOff>445152</xdr:rowOff>
    </xdr:to>
    <xdr:pic>
      <xdr:nvPicPr>
        <xdr:cNvPr id="678" name="Picture 677">
          <a:extLst>
            <a:ext uri="{FF2B5EF4-FFF2-40B4-BE49-F238E27FC236}">
              <a16:creationId xmlns:a16="http://schemas.microsoft.com/office/drawing/2014/main" id="{26680C41-41FF-4FA7-9CF0-1007F8EC4B6C}"/>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6886373"/>
          <a:ext cx="432000" cy="422475"/>
        </a:xfrm>
        <a:prstGeom prst="rect">
          <a:avLst/>
        </a:prstGeom>
        <a:noFill/>
      </xdr:spPr>
    </xdr:pic>
    <xdr:clientData/>
  </xdr:twoCellAnchor>
  <xdr:twoCellAnchor>
    <xdr:from>
      <xdr:col>9</xdr:col>
      <xdr:colOff>445477</xdr:colOff>
      <xdr:row>251</xdr:row>
      <xdr:rowOff>22677</xdr:rowOff>
    </xdr:from>
    <xdr:to>
      <xdr:col>9</xdr:col>
      <xdr:colOff>877477</xdr:colOff>
      <xdr:row>251</xdr:row>
      <xdr:rowOff>445152</xdr:rowOff>
    </xdr:to>
    <xdr:pic>
      <xdr:nvPicPr>
        <xdr:cNvPr id="679" name="Picture 678">
          <a:extLst>
            <a:ext uri="{FF2B5EF4-FFF2-40B4-BE49-F238E27FC236}">
              <a16:creationId xmlns:a16="http://schemas.microsoft.com/office/drawing/2014/main" id="{61BDD65D-B074-4220-BD36-BEE773840DD6}"/>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6886373"/>
          <a:ext cx="432000" cy="422475"/>
        </a:xfrm>
        <a:prstGeom prst="rect">
          <a:avLst/>
        </a:prstGeom>
        <a:noFill/>
      </xdr:spPr>
    </xdr:pic>
    <xdr:clientData/>
  </xdr:twoCellAnchor>
  <xdr:twoCellAnchor>
    <xdr:from>
      <xdr:col>9</xdr:col>
      <xdr:colOff>445477</xdr:colOff>
      <xdr:row>252</xdr:row>
      <xdr:rowOff>22677</xdr:rowOff>
    </xdr:from>
    <xdr:to>
      <xdr:col>9</xdr:col>
      <xdr:colOff>877477</xdr:colOff>
      <xdr:row>252</xdr:row>
      <xdr:rowOff>445152</xdr:rowOff>
    </xdr:to>
    <xdr:pic>
      <xdr:nvPicPr>
        <xdr:cNvPr id="680" name="Picture 679">
          <a:extLst>
            <a:ext uri="{FF2B5EF4-FFF2-40B4-BE49-F238E27FC236}">
              <a16:creationId xmlns:a16="http://schemas.microsoft.com/office/drawing/2014/main" id="{49C8D1F7-E32F-4981-9DAA-3D079D0DA6A9}"/>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6886373"/>
          <a:ext cx="432000" cy="422475"/>
        </a:xfrm>
        <a:prstGeom prst="rect">
          <a:avLst/>
        </a:prstGeom>
        <a:noFill/>
      </xdr:spPr>
    </xdr:pic>
    <xdr:clientData/>
  </xdr:twoCellAnchor>
  <xdr:twoCellAnchor>
    <xdr:from>
      <xdr:col>9</xdr:col>
      <xdr:colOff>445477</xdr:colOff>
      <xdr:row>253</xdr:row>
      <xdr:rowOff>22677</xdr:rowOff>
    </xdr:from>
    <xdr:to>
      <xdr:col>9</xdr:col>
      <xdr:colOff>877477</xdr:colOff>
      <xdr:row>253</xdr:row>
      <xdr:rowOff>445152</xdr:rowOff>
    </xdr:to>
    <xdr:pic>
      <xdr:nvPicPr>
        <xdr:cNvPr id="681" name="Picture 680">
          <a:extLst>
            <a:ext uri="{FF2B5EF4-FFF2-40B4-BE49-F238E27FC236}">
              <a16:creationId xmlns:a16="http://schemas.microsoft.com/office/drawing/2014/main" id="{BDEFBEA5-465B-4B39-AF28-BC7C2F8C7065}"/>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6886373"/>
          <a:ext cx="432000" cy="422475"/>
        </a:xfrm>
        <a:prstGeom prst="rect">
          <a:avLst/>
        </a:prstGeom>
        <a:noFill/>
      </xdr:spPr>
    </xdr:pic>
    <xdr:clientData/>
  </xdr:twoCellAnchor>
  <xdr:twoCellAnchor>
    <xdr:from>
      <xdr:col>9</xdr:col>
      <xdr:colOff>445477</xdr:colOff>
      <xdr:row>254</xdr:row>
      <xdr:rowOff>22677</xdr:rowOff>
    </xdr:from>
    <xdr:to>
      <xdr:col>9</xdr:col>
      <xdr:colOff>877477</xdr:colOff>
      <xdr:row>254</xdr:row>
      <xdr:rowOff>445152</xdr:rowOff>
    </xdr:to>
    <xdr:pic>
      <xdr:nvPicPr>
        <xdr:cNvPr id="682" name="Picture 681">
          <a:extLst>
            <a:ext uri="{FF2B5EF4-FFF2-40B4-BE49-F238E27FC236}">
              <a16:creationId xmlns:a16="http://schemas.microsoft.com/office/drawing/2014/main" id="{30A255D7-7EC5-4558-8979-CA47057C296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6886373"/>
          <a:ext cx="432000" cy="422475"/>
        </a:xfrm>
        <a:prstGeom prst="rect">
          <a:avLst/>
        </a:prstGeom>
        <a:noFill/>
      </xdr:spPr>
    </xdr:pic>
    <xdr:clientData/>
  </xdr:twoCellAnchor>
  <xdr:twoCellAnchor>
    <xdr:from>
      <xdr:col>9</xdr:col>
      <xdr:colOff>445477</xdr:colOff>
      <xdr:row>255</xdr:row>
      <xdr:rowOff>22677</xdr:rowOff>
    </xdr:from>
    <xdr:to>
      <xdr:col>9</xdr:col>
      <xdr:colOff>877477</xdr:colOff>
      <xdr:row>255</xdr:row>
      <xdr:rowOff>445152</xdr:rowOff>
    </xdr:to>
    <xdr:pic>
      <xdr:nvPicPr>
        <xdr:cNvPr id="683" name="Picture 682">
          <a:extLst>
            <a:ext uri="{FF2B5EF4-FFF2-40B4-BE49-F238E27FC236}">
              <a16:creationId xmlns:a16="http://schemas.microsoft.com/office/drawing/2014/main" id="{CC600B40-5B34-4D0A-A4B2-B44FF24F63EE}"/>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6886373"/>
          <a:ext cx="432000" cy="422475"/>
        </a:xfrm>
        <a:prstGeom prst="rect">
          <a:avLst/>
        </a:prstGeom>
        <a:noFill/>
      </xdr:spPr>
    </xdr:pic>
    <xdr:clientData/>
  </xdr:twoCellAnchor>
  <xdr:twoCellAnchor>
    <xdr:from>
      <xdr:col>9</xdr:col>
      <xdr:colOff>445477</xdr:colOff>
      <xdr:row>256</xdr:row>
      <xdr:rowOff>22677</xdr:rowOff>
    </xdr:from>
    <xdr:to>
      <xdr:col>9</xdr:col>
      <xdr:colOff>877477</xdr:colOff>
      <xdr:row>256</xdr:row>
      <xdr:rowOff>445152</xdr:rowOff>
    </xdr:to>
    <xdr:pic>
      <xdr:nvPicPr>
        <xdr:cNvPr id="684" name="Picture 683">
          <a:extLst>
            <a:ext uri="{FF2B5EF4-FFF2-40B4-BE49-F238E27FC236}">
              <a16:creationId xmlns:a16="http://schemas.microsoft.com/office/drawing/2014/main" id="{C3AAC26E-3E86-4818-8510-F019F00A854C}"/>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6886373"/>
          <a:ext cx="432000" cy="422475"/>
        </a:xfrm>
        <a:prstGeom prst="rect">
          <a:avLst/>
        </a:prstGeom>
        <a:noFill/>
      </xdr:spPr>
    </xdr:pic>
    <xdr:clientData/>
  </xdr:twoCellAnchor>
  <xdr:twoCellAnchor>
    <xdr:from>
      <xdr:col>9</xdr:col>
      <xdr:colOff>445477</xdr:colOff>
      <xdr:row>257</xdr:row>
      <xdr:rowOff>22677</xdr:rowOff>
    </xdr:from>
    <xdr:to>
      <xdr:col>9</xdr:col>
      <xdr:colOff>877477</xdr:colOff>
      <xdr:row>257</xdr:row>
      <xdr:rowOff>445152</xdr:rowOff>
    </xdr:to>
    <xdr:pic>
      <xdr:nvPicPr>
        <xdr:cNvPr id="685" name="Picture 684">
          <a:extLst>
            <a:ext uri="{FF2B5EF4-FFF2-40B4-BE49-F238E27FC236}">
              <a16:creationId xmlns:a16="http://schemas.microsoft.com/office/drawing/2014/main" id="{D3E0C51E-DAF2-4BE5-98E0-091E125325F5}"/>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6886373"/>
          <a:ext cx="432000" cy="422475"/>
        </a:xfrm>
        <a:prstGeom prst="rect">
          <a:avLst/>
        </a:prstGeom>
        <a:noFill/>
      </xdr:spPr>
    </xdr:pic>
    <xdr:clientData/>
  </xdr:twoCellAnchor>
  <xdr:twoCellAnchor>
    <xdr:from>
      <xdr:col>9</xdr:col>
      <xdr:colOff>445477</xdr:colOff>
      <xdr:row>258</xdr:row>
      <xdr:rowOff>22677</xdr:rowOff>
    </xdr:from>
    <xdr:to>
      <xdr:col>9</xdr:col>
      <xdr:colOff>877477</xdr:colOff>
      <xdr:row>258</xdr:row>
      <xdr:rowOff>445152</xdr:rowOff>
    </xdr:to>
    <xdr:pic>
      <xdr:nvPicPr>
        <xdr:cNvPr id="686" name="Picture 685">
          <a:extLst>
            <a:ext uri="{FF2B5EF4-FFF2-40B4-BE49-F238E27FC236}">
              <a16:creationId xmlns:a16="http://schemas.microsoft.com/office/drawing/2014/main" id="{70358B23-0982-4B4D-8A97-ABB8EBF58A4E}"/>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99888" y="106886373"/>
          <a:ext cx="432000" cy="422475"/>
        </a:xfrm>
        <a:prstGeom prst="rect">
          <a:avLst/>
        </a:prstGeom>
        <a:noFill/>
      </xdr:spPr>
    </xdr:pic>
    <xdr:clientData/>
  </xdr:twoCellAnchor>
  <xdr:twoCellAnchor>
    <xdr:from>
      <xdr:col>12</xdr:col>
      <xdr:colOff>450013</xdr:colOff>
      <xdr:row>259</xdr:row>
      <xdr:rowOff>21543</xdr:rowOff>
    </xdr:from>
    <xdr:to>
      <xdr:col>12</xdr:col>
      <xdr:colOff>882013</xdr:colOff>
      <xdr:row>259</xdr:row>
      <xdr:rowOff>453543</xdr:rowOff>
    </xdr:to>
    <xdr:pic>
      <xdr:nvPicPr>
        <xdr:cNvPr id="688" name="Picture 687" descr="hair protection">
          <a:extLst>
            <a:ext uri="{FF2B5EF4-FFF2-40B4-BE49-F238E27FC236}">
              <a16:creationId xmlns:a16="http://schemas.microsoft.com/office/drawing/2014/main" id="{B6B3E868-657E-4764-AD11-BA57C7F49AC1}"/>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5620" y="106885239"/>
          <a:ext cx="432000" cy="432000"/>
        </a:xfrm>
        <a:prstGeom prst="rect">
          <a:avLst/>
        </a:prstGeom>
        <a:noFill/>
        <a:ln>
          <a:noFill/>
        </a:ln>
      </xdr:spPr>
    </xdr:pic>
    <xdr:clientData/>
  </xdr:twoCellAnchor>
  <xdr:twoCellAnchor>
    <xdr:from>
      <xdr:col>12</xdr:col>
      <xdr:colOff>430735</xdr:colOff>
      <xdr:row>260</xdr:row>
      <xdr:rowOff>23811</xdr:rowOff>
    </xdr:from>
    <xdr:to>
      <xdr:col>12</xdr:col>
      <xdr:colOff>862735</xdr:colOff>
      <xdr:row>260</xdr:row>
      <xdr:rowOff>446286</xdr:rowOff>
    </xdr:to>
    <xdr:pic>
      <xdr:nvPicPr>
        <xdr:cNvPr id="689" name="Picture 688" descr="head protection">
          <a:extLst>
            <a:ext uri="{FF2B5EF4-FFF2-40B4-BE49-F238E27FC236}">
              <a16:creationId xmlns:a16="http://schemas.microsoft.com/office/drawing/2014/main" id="{13689139-64DA-4C87-87CA-BF7C0C890A05}"/>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26342" y="107343347"/>
          <a:ext cx="432000" cy="422475"/>
        </a:xfrm>
        <a:prstGeom prst="rect">
          <a:avLst/>
        </a:prstGeom>
        <a:noFill/>
        <a:ln>
          <a:noFill/>
        </a:ln>
      </xdr:spPr>
    </xdr:pic>
    <xdr:clientData/>
  </xdr:twoCellAnchor>
  <xdr:twoCellAnchor>
    <xdr:from>
      <xdr:col>12</xdr:col>
      <xdr:colOff>481990</xdr:colOff>
      <xdr:row>263</xdr:row>
      <xdr:rowOff>20408</xdr:rowOff>
    </xdr:from>
    <xdr:to>
      <xdr:col>12</xdr:col>
      <xdr:colOff>913990</xdr:colOff>
      <xdr:row>263</xdr:row>
      <xdr:rowOff>442883</xdr:rowOff>
    </xdr:to>
    <xdr:pic>
      <xdr:nvPicPr>
        <xdr:cNvPr id="690" name="Picture 689">
          <a:extLst>
            <a:ext uri="{FF2B5EF4-FFF2-40B4-BE49-F238E27FC236}">
              <a16:creationId xmlns:a16="http://schemas.microsoft.com/office/drawing/2014/main" id="{ED8AF027-EDBF-4ADD-83C2-71548CC4916D}"/>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8877597" y="108707462"/>
          <a:ext cx="432000" cy="422475"/>
        </a:xfrm>
        <a:prstGeom prst="rect">
          <a:avLst/>
        </a:prstGeom>
        <a:noFill/>
        <a:ln>
          <a:noFill/>
        </a:ln>
      </xdr:spPr>
    </xdr:pic>
    <xdr:clientData/>
  </xdr:twoCellAnchor>
  <xdr:twoCellAnchor>
    <xdr:from>
      <xdr:col>12</xdr:col>
      <xdr:colOff>476094</xdr:colOff>
      <xdr:row>265</xdr:row>
      <xdr:rowOff>18142</xdr:rowOff>
    </xdr:from>
    <xdr:to>
      <xdr:col>12</xdr:col>
      <xdr:colOff>908094</xdr:colOff>
      <xdr:row>265</xdr:row>
      <xdr:rowOff>440617</xdr:rowOff>
    </xdr:to>
    <xdr:pic>
      <xdr:nvPicPr>
        <xdr:cNvPr id="691" name="Picture 690" descr="safety vests">
          <a:extLst>
            <a:ext uri="{FF2B5EF4-FFF2-40B4-BE49-F238E27FC236}">
              <a16:creationId xmlns:a16="http://schemas.microsoft.com/office/drawing/2014/main" id="{893C64B4-516E-433E-B3E4-B6AC350378BC}"/>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8871701" y="109616874"/>
          <a:ext cx="432000" cy="422475"/>
        </a:xfrm>
        <a:prstGeom prst="rect">
          <a:avLst/>
        </a:prstGeom>
        <a:noFill/>
        <a:ln>
          <a:noFill/>
        </a:ln>
      </xdr:spPr>
    </xdr:pic>
    <xdr:clientData/>
  </xdr:twoCellAnchor>
  <xdr:twoCellAnchor>
    <xdr:from>
      <xdr:col>12</xdr:col>
      <xdr:colOff>479048</xdr:colOff>
      <xdr:row>261</xdr:row>
      <xdr:rowOff>18541</xdr:rowOff>
    </xdr:from>
    <xdr:to>
      <xdr:col>12</xdr:col>
      <xdr:colOff>911048</xdr:colOff>
      <xdr:row>261</xdr:row>
      <xdr:rowOff>441016</xdr:rowOff>
    </xdr:to>
    <xdr:pic>
      <xdr:nvPicPr>
        <xdr:cNvPr id="692" name="Picture 691">
          <a:extLst>
            <a:ext uri="{FF2B5EF4-FFF2-40B4-BE49-F238E27FC236}">
              <a16:creationId xmlns:a16="http://schemas.microsoft.com/office/drawing/2014/main" id="{F7249FEF-316C-44FF-9ED8-66F1317E025C}"/>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74655" y="107793916"/>
          <a:ext cx="432000" cy="422475"/>
        </a:xfrm>
        <a:prstGeom prst="rect">
          <a:avLst/>
        </a:prstGeom>
        <a:noFill/>
      </xdr:spPr>
    </xdr:pic>
    <xdr:clientData/>
  </xdr:twoCellAnchor>
  <xdr:twoCellAnchor>
    <xdr:from>
      <xdr:col>12</xdr:col>
      <xdr:colOff>472691</xdr:colOff>
      <xdr:row>262</xdr:row>
      <xdr:rowOff>20410</xdr:rowOff>
    </xdr:from>
    <xdr:to>
      <xdr:col>12</xdr:col>
      <xdr:colOff>905440</xdr:colOff>
      <xdr:row>262</xdr:row>
      <xdr:rowOff>452410</xdr:rowOff>
    </xdr:to>
    <xdr:pic>
      <xdr:nvPicPr>
        <xdr:cNvPr id="693" name="Picture 692">
          <a:extLst>
            <a:ext uri="{FF2B5EF4-FFF2-40B4-BE49-F238E27FC236}">
              <a16:creationId xmlns:a16="http://schemas.microsoft.com/office/drawing/2014/main" id="{C562081A-95C7-4637-853D-C35A0DB9BF4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868298" y="108251624"/>
          <a:ext cx="432749" cy="432000"/>
        </a:xfrm>
        <a:prstGeom prst="rect">
          <a:avLst/>
        </a:prstGeom>
      </xdr:spPr>
    </xdr:pic>
    <xdr:clientData/>
  </xdr:twoCellAnchor>
  <xdr:twoCellAnchor>
    <xdr:from>
      <xdr:col>12</xdr:col>
      <xdr:colOff>476250</xdr:colOff>
      <xdr:row>264</xdr:row>
      <xdr:rowOff>17010</xdr:rowOff>
    </xdr:from>
    <xdr:to>
      <xdr:col>12</xdr:col>
      <xdr:colOff>908250</xdr:colOff>
      <xdr:row>264</xdr:row>
      <xdr:rowOff>449010</xdr:rowOff>
    </xdr:to>
    <xdr:pic>
      <xdr:nvPicPr>
        <xdr:cNvPr id="694" name="Picture 693">
          <a:extLst>
            <a:ext uri="{FF2B5EF4-FFF2-40B4-BE49-F238E27FC236}">
              <a16:creationId xmlns:a16="http://schemas.microsoft.com/office/drawing/2014/main" id="{D33C7EEB-CE97-4C34-AB84-3F33BDCE2D75}"/>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8871857" y="109159903"/>
          <a:ext cx="432000" cy="432000"/>
        </a:xfrm>
        <a:prstGeom prst="rect">
          <a:avLst/>
        </a:prstGeom>
      </xdr:spPr>
    </xdr:pic>
    <xdr:clientData/>
  </xdr:twoCellAnchor>
  <xdr:twoCellAnchor>
    <xdr:from>
      <xdr:col>12</xdr:col>
      <xdr:colOff>436563</xdr:colOff>
      <xdr:row>266</xdr:row>
      <xdr:rowOff>17008</xdr:rowOff>
    </xdr:from>
    <xdr:to>
      <xdr:col>12</xdr:col>
      <xdr:colOff>868563</xdr:colOff>
      <xdr:row>266</xdr:row>
      <xdr:rowOff>449008</xdr:rowOff>
    </xdr:to>
    <xdr:pic>
      <xdr:nvPicPr>
        <xdr:cNvPr id="695" name="Picture 694">
          <a:extLst>
            <a:ext uri="{FF2B5EF4-FFF2-40B4-BE49-F238E27FC236}">
              <a16:creationId xmlns:a16="http://schemas.microsoft.com/office/drawing/2014/main" id="{23B2C67E-BFFB-485C-9076-DE1210AD21DC}"/>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8832170" y="110071579"/>
          <a:ext cx="432000" cy="432000"/>
        </a:xfrm>
        <a:prstGeom prst="rect">
          <a:avLst/>
        </a:prstGeom>
      </xdr:spPr>
    </xdr:pic>
    <xdr:clientData/>
  </xdr:twoCellAnchor>
  <xdr:twoCellAnchor>
    <xdr:from>
      <xdr:col>12</xdr:col>
      <xdr:colOff>443370</xdr:colOff>
      <xdr:row>267</xdr:row>
      <xdr:rowOff>17007</xdr:rowOff>
    </xdr:from>
    <xdr:to>
      <xdr:col>12</xdr:col>
      <xdr:colOff>875370</xdr:colOff>
      <xdr:row>267</xdr:row>
      <xdr:rowOff>449007</xdr:rowOff>
    </xdr:to>
    <xdr:pic>
      <xdr:nvPicPr>
        <xdr:cNvPr id="696" name="Picture 695">
          <a:extLst>
            <a:ext uri="{FF2B5EF4-FFF2-40B4-BE49-F238E27FC236}">
              <a16:creationId xmlns:a16="http://schemas.microsoft.com/office/drawing/2014/main" id="{459638FC-0EF8-4CCD-B963-5199B2B1E45B}"/>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8838977" y="110527418"/>
          <a:ext cx="432000" cy="432000"/>
        </a:xfrm>
        <a:prstGeom prst="rect">
          <a:avLst/>
        </a:prstGeom>
        <a:noFill/>
      </xdr:spPr>
    </xdr:pic>
    <xdr:clientData/>
  </xdr:twoCellAnchor>
  <xdr:twoCellAnchor>
    <xdr:from>
      <xdr:col>12</xdr:col>
      <xdr:colOff>457020</xdr:colOff>
      <xdr:row>268</xdr:row>
      <xdr:rowOff>30345</xdr:rowOff>
    </xdr:from>
    <xdr:to>
      <xdr:col>12</xdr:col>
      <xdr:colOff>889020</xdr:colOff>
      <xdr:row>268</xdr:row>
      <xdr:rowOff>452820</xdr:rowOff>
    </xdr:to>
    <xdr:pic>
      <xdr:nvPicPr>
        <xdr:cNvPr id="697" name="Picture 696">
          <a:extLst>
            <a:ext uri="{FF2B5EF4-FFF2-40B4-BE49-F238E27FC236}">
              <a16:creationId xmlns:a16="http://schemas.microsoft.com/office/drawing/2014/main" id="{49D1DA33-4379-4477-8546-C881F5CD16FF}"/>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852627" y="110996595"/>
          <a:ext cx="432000" cy="422475"/>
        </a:xfrm>
        <a:prstGeom prst="rect">
          <a:avLst/>
        </a:prstGeom>
        <a:ln>
          <a:solidFill>
            <a:schemeClr val="tx1"/>
          </a:solidFill>
        </a:ln>
      </xdr:spPr>
    </xdr:pic>
    <xdr:clientData/>
  </xdr:twoCellAnchor>
  <xdr:twoCellAnchor>
    <xdr:from>
      <xdr:col>12</xdr:col>
      <xdr:colOff>450013</xdr:colOff>
      <xdr:row>269</xdr:row>
      <xdr:rowOff>21543</xdr:rowOff>
    </xdr:from>
    <xdr:to>
      <xdr:col>12</xdr:col>
      <xdr:colOff>882013</xdr:colOff>
      <xdr:row>269</xdr:row>
      <xdr:rowOff>453543</xdr:rowOff>
    </xdr:to>
    <xdr:pic>
      <xdr:nvPicPr>
        <xdr:cNvPr id="698" name="Picture 697" descr="hair protection">
          <a:extLst>
            <a:ext uri="{FF2B5EF4-FFF2-40B4-BE49-F238E27FC236}">
              <a16:creationId xmlns:a16="http://schemas.microsoft.com/office/drawing/2014/main" id="{88657E5D-2A3D-44DA-97B3-309979ED71E4}"/>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5620" y="106885239"/>
          <a:ext cx="432000" cy="432000"/>
        </a:xfrm>
        <a:prstGeom prst="rect">
          <a:avLst/>
        </a:prstGeom>
        <a:noFill/>
        <a:ln>
          <a:noFill/>
        </a:ln>
      </xdr:spPr>
    </xdr:pic>
    <xdr:clientData/>
  </xdr:twoCellAnchor>
  <xdr:twoCellAnchor>
    <xdr:from>
      <xdr:col>12</xdr:col>
      <xdr:colOff>430735</xdr:colOff>
      <xdr:row>270</xdr:row>
      <xdr:rowOff>23811</xdr:rowOff>
    </xdr:from>
    <xdr:to>
      <xdr:col>12</xdr:col>
      <xdr:colOff>862735</xdr:colOff>
      <xdr:row>270</xdr:row>
      <xdr:rowOff>446286</xdr:rowOff>
    </xdr:to>
    <xdr:pic>
      <xdr:nvPicPr>
        <xdr:cNvPr id="699" name="Picture 698" descr="head protection">
          <a:extLst>
            <a:ext uri="{FF2B5EF4-FFF2-40B4-BE49-F238E27FC236}">
              <a16:creationId xmlns:a16="http://schemas.microsoft.com/office/drawing/2014/main" id="{8F98A6A5-2EA8-47C9-945C-505B079DE17E}"/>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26342" y="107343347"/>
          <a:ext cx="432000" cy="422475"/>
        </a:xfrm>
        <a:prstGeom prst="rect">
          <a:avLst/>
        </a:prstGeom>
        <a:noFill/>
        <a:ln>
          <a:noFill/>
        </a:ln>
      </xdr:spPr>
    </xdr:pic>
    <xdr:clientData/>
  </xdr:twoCellAnchor>
  <xdr:twoCellAnchor>
    <xdr:from>
      <xdr:col>12</xdr:col>
      <xdr:colOff>481990</xdr:colOff>
      <xdr:row>273</xdr:row>
      <xdr:rowOff>20408</xdr:rowOff>
    </xdr:from>
    <xdr:to>
      <xdr:col>12</xdr:col>
      <xdr:colOff>913990</xdr:colOff>
      <xdr:row>273</xdr:row>
      <xdr:rowOff>442883</xdr:rowOff>
    </xdr:to>
    <xdr:pic>
      <xdr:nvPicPr>
        <xdr:cNvPr id="700" name="Picture 699">
          <a:extLst>
            <a:ext uri="{FF2B5EF4-FFF2-40B4-BE49-F238E27FC236}">
              <a16:creationId xmlns:a16="http://schemas.microsoft.com/office/drawing/2014/main" id="{41AC43F3-7C34-42A4-BE6A-37EB6F67BDBC}"/>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8877597" y="108707462"/>
          <a:ext cx="432000" cy="422475"/>
        </a:xfrm>
        <a:prstGeom prst="rect">
          <a:avLst/>
        </a:prstGeom>
        <a:noFill/>
        <a:ln>
          <a:noFill/>
        </a:ln>
      </xdr:spPr>
    </xdr:pic>
    <xdr:clientData/>
  </xdr:twoCellAnchor>
  <xdr:twoCellAnchor>
    <xdr:from>
      <xdr:col>12</xdr:col>
      <xdr:colOff>476094</xdr:colOff>
      <xdr:row>275</xdr:row>
      <xdr:rowOff>18142</xdr:rowOff>
    </xdr:from>
    <xdr:to>
      <xdr:col>12</xdr:col>
      <xdr:colOff>908094</xdr:colOff>
      <xdr:row>275</xdr:row>
      <xdr:rowOff>440617</xdr:rowOff>
    </xdr:to>
    <xdr:pic>
      <xdr:nvPicPr>
        <xdr:cNvPr id="701" name="Picture 700" descr="safety vests">
          <a:extLst>
            <a:ext uri="{FF2B5EF4-FFF2-40B4-BE49-F238E27FC236}">
              <a16:creationId xmlns:a16="http://schemas.microsoft.com/office/drawing/2014/main" id="{48BC3BB8-43C2-4F78-B92B-19736356B283}"/>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8871701" y="109616874"/>
          <a:ext cx="432000" cy="422475"/>
        </a:xfrm>
        <a:prstGeom prst="rect">
          <a:avLst/>
        </a:prstGeom>
        <a:noFill/>
        <a:ln>
          <a:noFill/>
        </a:ln>
      </xdr:spPr>
    </xdr:pic>
    <xdr:clientData/>
  </xdr:twoCellAnchor>
  <xdr:twoCellAnchor>
    <xdr:from>
      <xdr:col>12</xdr:col>
      <xdr:colOff>479048</xdr:colOff>
      <xdr:row>271</xdr:row>
      <xdr:rowOff>18541</xdr:rowOff>
    </xdr:from>
    <xdr:to>
      <xdr:col>12</xdr:col>
      <xdr:colOff>911048</xdr:colOff>
      <xdr:row>271</xdr:row>
      <xdr:rowOff>441016</xdr:rowOff>
    </xdr:to>
    <xdr:pic>
      <xdr:nvPicPr>
        <xdr:cNvPr id="702" name="Picture 701">
          <a:extLst>
            <a:ext uri="{FF2B5EF4-FFF2-40B4-BE49-F238E27FC236}">
              <a16:creationId xmlns:a16="http://schemas.microsoft.com/office/drawing/2014/main" id="{C3F6310A-D6C3-49B2-9481-A41A83199A6B}"/>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74655" y="107793916"/>
          <a:ext cx="432000" cy="422475"/>
        </a:xfrm>
        <a:prstGeom prst="rect">
          <a:avLst/>
        </a:prstGeom>
        <a:noFill/>
      </xdr:spPr>
    </xdr:pic>
    <xdr:clientData/>
  </xdr:twoCellAnchor>
  <xdr:twoCellAnchor>
    <xdr:from>
      <xdr:col>12</xdr:col>
      <xdr:colOff>472691</xdr:colOff>
      <xdr:row>272</xdr:row>
      <xdr:rowOff>20410</xdr:rowOff>
    </xdr:from>
    <xdr:to>
      <xdr:col>12</xdr:col>
      <xdr:colOff>905440</xdr:colOff>
      <xdr:row>272</xdr:row>
      <xdr:rowOff>452410</xdr:rowOff>
    </xdr:to>
    <xdr:pic>
      <xdr:nvPicPr>
        <xdr:cNvPr id="703" name="Picture 702">
          <a:extLst>
            <a:ext uri="{FF2B5EF4-FFF2-40B4-BE49-F238E27FC236}">
              <a16:creationId xmlns:a16="http://schemas.microsoft.com/office/drawing/2014/main" id="{ECA6882E-D16F-4535-91D4-5E5C4A6F1489}"/>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868298" y="108251624"/>
          <a:ext cx="432749" cy="432000"/>
        </a:xfrm>
        <a:prstGeom prst="rect">
          <a:avLst/>
        </a:prstGeom>
      </xdr:spPr>
    </xdr:pic>
    <xdr:clientData/>
  </xdr:twoCellAnchor>
  <xdr:twoCellAnchor>
    <xdr:from>
      <xdr:col>12</xdr:col>
      <xdr:colOff>476250</xdr:colOff>
      <xdr:row>274</xdr:row>
      <xdr:rowOff>17010</xdr:rowOff>
    </xdr:from>
    <xdr:to>
      <xdr:col>12</xdr:col>
      <xdr:colOff>908250</xdr:colOff>
      <xdr:row>274</xdr:row>
      <xdr:rowOff>449010</xdr:rowOff>
    </xdr:to>
    <xdr:pic>
      <xdr:nvPicPr>
        <xdr:cNvPr id="704" name="Picture 703">
          <a:extLst>
            <a:ext uri="{FF2B5EF4-FFF2-40B4-BE49-F238E27FC236}">
              <a16:creationId xmlns:a16="http://schemas.microsoft.com/office/drawing/2014/main" id="{3CFE8335-30BE-42EE-AA33-EC35DC099163}"/>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8871857" y="109159903"/>
          <a:ext cx="432000" cy="432000"/>
        </a:xfrm>
        <a:prstGeom prst="rect">
          <a:avLst/>
        </a:prstGeom>
      </xdr:spPr>
    </xdr:pic>
    <xdr:clientData/>
  </xdr:twoCellAnchor>
  <xdr:twoCellAnchor>
    <xdr:from>
      <xdr:col>12</xdr:col>
      <xdr:colOff>436563</xdr:colOff>
      <xdr:row>276</xdr:row>
      <xdr:rowOff>17008</xdr:rowOff>
    </xdr:from>
    <xdr:to>
      <xdr:col>12</xdr:col>
      <xdr:colOff>868563</xdr:colOff>
      <xdr:row>276</xdr:row>
      <xdr:rowOff>449008</xdr:rowOff>
    </xdr:to>
    <xdr:pic>
      <xdr:nvPicPr>
        <xdr:cNvPr id="705" name="Picture 704">
          <a:extLst>
            <a:ext uri="{FF2B5EF4-FFF2-40B4-BE49-F238E27FC236}">
              <a16:creationId xmlns:a16="http://schemas.microsoft.com/office/drawing/2014/main" id="{EA3EB640-70B3-46F7-9AF6-D990DB235811}"/>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8832170" y="110071579"/>
          <a:ext cx="432000" cy="432000"/>
        </a:xfrm>
        <a:prstGeom prst="rect">
          <a:avLst/>
        </a:prstGeom>
      </xdr:spPr>
    </xdr:pic>
    <xdr:clientData/>
  </xdr:twoCellAnchor>
  <xdr:twoCellAnchor>
    <xdr:from>
      <xdr:col>12</xdr:col>
      <xdr:colOff>443370</xdr:colOff>
      <xdr:row>277</xdr:row>
      <xdr:rowOff>17007</xdr:rowOff>
    </xdr:from>
    <xdr:to>
      <xdr:col>12</xdr:col>
      <xdr:colOff>875370</xdr:colOff>
      <xdr:row>277</xdr:row>
      <xdr:rowOff>449007</xdr:rowOff>
    </xdr:to>
    <xdr:pic>
      <xdr:nvPicPr>
        <xdr:cNvPr id="706" name="Picture 705">
          <a:extLst>
            <a:ext uri="{FF2B5EF4-FFF2-40B4-BE49-F238E27FC236}">
              <a16:creationId xmlns:a16="http://schemas.microsoft.com/office/drawing/2014/main" id="{70B46727-CCFB-4DAD-AD74-B4D563B70B72}"/>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8838977" y="110527418"/>
          <a:ext cx="432000" cy="432000"/>
        </a:xfrm>
        <a:prstGeom prst="rect">
          <a:avLst/>
        </a:prstGeom>
        <a:noFill/>
      </xdr:spPr>
    </xdr:pic>
    <xdr:clientData/>
  </xdr:twoCellAnchor>
  <xdr:twoCellAnchor>
    <xdr:from>
      <xdr:col>12</xdr:col>
      <xdr:colOff>457020</xdr:colOff>
      <xdr:row>278</xdr:row>
      <xdr:rowOff>30345</xdr:rowOff>
    </xdr:from>
    <xdr:to>
      <xdr:col>12</xdr:col>
      <xdr:colOff>889020</xdr:colOff>
      <xdr:row>278</xdr:row>
      <xdr:rowOff>452820</xdr:rowOff>
    </xdr:to>
    <xdr:pic>
      <xdr:nvPicPr>
        <xdr:cNvPr id="707" name="Picture 706">
          <a:extLst>
            <a:ext uri="{FF2B5EF4-FFF2-40B4-BE49-F238E27FC236}">
              <a16:creationId xmlns:a16="http://schemas.microsoft.com/office/drawing/2014/main" id="{E1E7DB6C-E9DD-4221-91ED-FAB84D488841}"/>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852627" y="110996595"/>
          <a:ext cx="432000" cy="422475"/>
        </a:xfrm>
        <a:prstGeom prst="rect">
          <a:avLst/>
        </a:prstGeom>
        <a:ln>
          <a:solidFill>
            <a:schemeClr val="tx1"/>
          </a:solidFill>
        </a:ln>
      </xdr:spPr>
    </xdr:pic>
    <xdr:clientData/>
  </xdr:twoCellAnchor>
  <xdr:twoCellAnchor>
    <xdr:from>
      <xdr:col>12</xdr:col>
      <xdr:colOff>450013</xdr:colOff>
      <xdr:row>279</xdr:row>
      <xdr:rowOff>21543</xdr:rowOff>
    </xdr:from>
    <xdr:to>
      <xdr:col>12</xdr:col>
      <xdr:colOff>882013</xdr:colOff>
      <xdr:row>279</xdr:row>
      <xdr:rowOff>453543</xdr:rowOff>
    </xdr:to>
    <xdr:pic>
      <xdr:nvPicPr>
        <xdr:cNvPr id="708" name="Picture 707" descr="hair protection">
          <a:extLst>
            <a:ext uri="{FF2B5EF4-FFF2-40B4-BE49-F238E27FC236}">
              <a16:creationId xmlns:a16="http://schemas.microsoft.com/office/drawing/2014/main" id="{4C2A516B-BA0D-4755-8B87-7357D9D50129}"/>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5620" y="116002025"/>
          <a:ext cx="432000" cy="432000"/>
        </a:xfrm>
        <a:prstGeom prst="rect">
          <a:avLst/>
        </a:prstGeom>
        <a:noFill/>
        <a:ln>
          <a:noFill/>
        </a:ln>
      </xdr:spPr>
    </xdr:pic>
    <xdr:clientData/>
  </xdr:twoCellAnchor>
  <xdr:twoCellAnchor>
    <xdr:from>
      <xdr:col>12</xdr:col>
      <xdr:colOff>430735</xdr:colOff>
      <xdr:row>280</xdr:row>
      <xdr:rowOff>23811</xdr:rowOff>
    </xdr:from>
    <xdr:to>
      <xdr:col>12</xdr:col>
      <xdr:colOff>862735</xdr:colOff>
      <xdr:row>280</xdr:row>
      <xdr:rowOff>446286</xdr:rowOff>
    </xdr:to>
    <xdr:pic>
      <xdr:nvPicPr>
        <xdr:cNvPr id="709" name="Picture 708" descr="head protection">
          <a:extLst>
            <a:ext uri="{FF2B5EF4-FFF2-40B4-BE49-F238E27FC236}">
              <a16:creationId xmlns:a16="http://schemas.microsoft.com/office/drawing/2014/main" id="{FD603744-793D-4116-A877-24C2A8EC6878}"/>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26342" y="116460132"/>
          <a:ext cx="432000" cy="422475"/>
        </a:xfrm>
        <a:prstGeom prst="rect">
          <a:avLst/>
        </a:prstGeom>
        <a:noFill/>
        <a:ln>
          <a:noFill/>
        </a:ln>
      </xdr:spPr>
    </xdr:pic>
    <xdr:clientData/>
  </xdr:twoCellAnchor>
  <xdr:twoCellAnchor>
    <xdr:from>
      <xdr:col>12</xdr:col>
      <xdr:colOff>481990</xdr:colOff>
      <xdr:row>283</xdr:row>
      <xdr:rowOff>20408</xdr:rowOff>
    </xdr:from>
    <xdr:to>
      <xdr:col>12</xdr:col>
      <xdr:colOff>913990</xdr:colOff>
      <xdr:row>283</xdr:row>
      <xdr:rowOff>442883</xdr:rowOff>
    </xdr:to>
    <xdr:pic>
      <xdr:nvPicPr>
        <xdr:cNvPr id="710" name="Picture 709">
          <a:extLst>
            <a:ext uri="{FF2B5EF4-FFF2-40B4-BE49-F238E27FC236}">
              <a16:creationId xmlns:a16="http://schemas.microsoft.com/office/drawing/2014/main" id="{9A09BF93-3B99-46DB-958A-D68FBF473880}"/>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8877597" y="117824247"/>
          <a:ext cx="432000" cy="422475"/>
        </a:xfrm>
        <a:prstGeom prst="rect">
          <a:avLst/>
        </a:prstGeom>
        <a:noFill/>
        <a:ln>
          <a:noFill/>
        </a:ln>
      </xdr:spPr>
    </xdr:pic>
    <xdr:clientData/>
  </xdr:twoCellAnchor>
  <xdr:twoCellAnchor>
    <xdr:from>
      <xdr:col>12</xdr:col>
      <xdr:colOff>476094</xdr:colOff>
      <xdr:row>285</xdr:row>
      <xdr:rowOff>18142</xdr:rowOff>
    </xdr:from>
    <xdr:to>
      <xdr:col>12</xdr:col>
      <xdr:colOff>908094</xdr:colOff>
      <xdr:row>285</xdr:row>
      <xdr:rowOff>440617</xdr:rowOff>
    </xdr:to>
    <xdr:pic>
      <xdr:nvPicPr>
        <xdr:cNvPr id="711" name="Picture 710" descr="safety vests">
          <a:extLst>
            <a:ext uri="{FF2B5EF4-FFF2-40B4-BE49-F238E27FC236}">
              <a16:creationId xmlns:a16="http://schemas.microsoft.com/office/drawing/2014/main" id="{86EC58B8-8F56-4E19-ACD6-0F5094B24965}"/>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8871701" y="118733660"/>
          <a:ext cx="432000" cy="422475"/>
        </a:xfrm>
        <a:prstGeom prst="rect">
          <a:avLst/>
        </a:prstGeom>
        <a:noFill/>
        <a:ln>
          <a:noFill/>
        </a:ln>
      </xdr:spPr>
    </xdr:pic>
    <xdr:clientData/>
  </xdr:twoCellAnchor>
  <xdr:twoCellAnchor>
    <xdr:from>
      <xdr:col>12</xdr:col>
      <xdr:colOff>479048</xdr:colOff>
      <xdr:row>281</xdr:row>
      <xdr:rowOff>18541</xdr:rowOff>
    </xdr:from>
    <xdr:to>
      <xdr:col>12</xdr:col>
      <xdr:colOff>911048</xdr:colOff>
      <xdr:row>281</xdr:row>
      <xdr:rowOff>441016</xdr:rowOff>
    </xdr:to>
    <xdr:pic>
      <xdr:nvPicPr>
        <xdr:cNvPr id="712" name="Picture 711">
          <a:extLst>
            <a:ext uri="{FF2B5EF4-FFF2-40B4-BE49-F238E27FC236}">
              <a16:creationId xmlns:a16="http://schemas.microsoft.com/office/drawing/2014/main" id="{2075E488-0FCB-422C-B7F4-CEDCBCEF9EE6}"/>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74655" y="116910702"/>
          <a:ext cx="432000" cy="422475"/>
        </a:xfrm>
        <a:prstGeom prst="rect">
          <a:avLst/>
        </a:prstGeom>
        <a:noFill/>
      </xdr:spPr>
    </xdr:pic>
    <xdr:clientData/>
  </xdr:twoCellAnchor>
  <xdr:twoCellAnchor>
    <xdr:from>
      <xdr:col>12</xdr:col>
      <xdr:colOff>472691</xdr:colOff>
      <xdr:row>282</xdr:row>
      <xdr:rowOff>20410</xdr:rowOff>
    </xdr:from>
    <xdr:to>
      <xdr:col>12</xdr:col>
      <xdr:colOff>905440</xdr:colOff>
      <xdr:row>282</xdr:row>
      <xdr:rowOff>452410</xdr:rowOff>
    </xdr:to>
    <xdr:pic>
      <xdr:nvPicPr>
        <xdr:cNvPr id="713" name="Picture 712">
          <a:extLst>
            <a:ext uri="{FF2B5EF4-FFF2-40B4-BE49-F238E27FC236}">
              <a16:creationId xmlns:a16="http://schemas.microsoft.com/office/drawing/2014/main" id="{FE042FA1-F02C-4FA0-83D7-526361ED23DB}"/>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868298" y="117368410"/>
          <a:ext cx="432749" cy="432000"/>
        </a:xfrm>
        <a:prstGeom prst="rect">
          <a:avLst/>
        </a:prstGeom>
      </xdr:spPr>
    </xdr:pic>
    <xdr:clientData/>
  </xdr:twoCellAnchor>
  <xdr:twoCellAnchor>
    <xdr:from>
      <xdr:col>12</xdr:col>
      <xdr:colOff>476250</xdr:colOff>
      <xdr:row>284</xdr:row>
      <xdr:rowOff>17010</xdr:rowOff>
    </xdr:from>
    <xdr:to>
      <xdr:col>12</xdr:col>
      <xdr:colOff>908250</xdr:colOff>
      <xdr:row>284</xdr:row>
      <xdr:rowOff>449010</xdr:rowOff>
    </xdr:to>
    <xdr:pic>
      <xdr:nvPicPr>
        <xdr:cNvPr id="714" name="Picture 713">
          <a:extLst>
            <a:ext uri="{FF2B5EF4-FFF2-40B4-BE49-F238E27FC236}">
              <a16:creationId xmlns:a16="http://schemas.microsoft.com/office/drawing/2014/main" id="{E56DCFCB-441A-4651-B630-8666D1AB6416}"/>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8871857" y="118276689"/>
          <a:ext cx="432000" cy="432000"/>
        </a:xfrm>
        <a:prstGeom prst="rect">
          <a:avLst/>
        </a:prstGeom>
      </xdr:spPr>
    </xdr:pic>
    <xdr:clientData/>
  </xdr:twoCellAnchor>
  <xdr:twoCellAnchor>
    <xdr:from>
      <xdr:col>12</xdr:col>
      <xdr:colOff>436563</xdr:colOff>
      <xdr:row>286</xdr:row>
      <xdr:rowOff>17008</xdr:rowOff>
    </xdr:from>
    <xdr:to>
      <xdr:col>12</xdr:col>
      <xdr:colOff>868563</xdr:colOff>
      <xdr:row>286</xdr:row>
      <xdr:rowOff>449008</xdr:rowOff>
    </xdr:to>
    <xdr:pic>
      <xdr:nvPicPr>
        <xdr:cNvPr id="715" name="Picture 714">
          <a:extLst>
            <a:ext uri="{FF2B5EF4-FFF2-40B4-BE49-F238E27FC236}">
              <a16:creationId xmlns:a16="http://schemas.microsoft.com/office/drawing/2014/main" id="{084FD3D2-B573-424B-B765-3440BE2F0389}"/>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8832170" y="119188365"/>
          <a:ext cx="432000" cy="432000"/>
        </a:xfrm>
        <a:prstGeom prst="rect">
          <a:avLst/>
        </a:prstGeom>
      </xdr:spPr>
    </xdr:pic>
    <xdr:clientData/>
  </xdr:twoCellAnchor>
  <xdr:twoCellAnchor>
    <xdr:from>
      <xdr:col>12</xdr:col>
      <xdr:colOff>443370</xdr:colOff>
      <xdr:row>287</xdr:row>
      <xdr:rowOff>17007</xdr:rowOff>
    </xdr:from>
    <xdr:to>
      <xdr:col>12</xdr:col>
      <xdr:colOff>875370</xdr:colOff>
      <xdr:row>287</xdr:row>
      <xdr:rowOff>449007</xdr:rowOff>
    </xdr:to>
    <xdr:pic>
      <xdr:nvPicPr>
        <xdr:cNvPr id="716" name="Picture 715">
          <a:extLst>
            <a:ext uri="{FF2B5EF4-FFF2-40B4-BE49-F238E27FC236}">
              <a16:creationId xmlns:a16="http://schemas.microsoft.com/office/drawing/2014/main" id="{CC8F91A5-F5BA-4A5C-95A7-A83FDF23D37A}"/>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8838977" y="119644203"/>
          <a:ext cx="432000" cy="432000"/>
        </a:xfrm>
        <a:prstGeom prst="rect">
          <a:avLst/>
        </a:prstGeom>
        <a:noFill/>
      </xdr:spPr>
    </xdr:pic>
    <xdr:clientData/>
  </xdr:twoCellAnchor>
  <xdr:twoCellAnchor>
    <xdr:from>
      <xdr:col>12</xdr:col>
      <xdr:colOff>457020</xdr:colOff>
      <xdr:row>288</xdr:row>
      <xdr:rowOff>30345</xdr:rowOff>
    </xdr:from>
    <xdr:to>
      <xdr:col>12</xdr:col>
      <xdr:colOff>889020</xdr:colOff>
      <xdr:row>288</xdr:row>
      <xdr:rowOff>452820</xdr:rowOff>
    </xdr:to>
    <xdr:pic>
      <xdr:nvPicPr>
        <xdr:cNvPr id="717" name="Picture 716">
          <a:extLst>
            <a:ext uri="{FF2B5EF4-FFF2-40B4-BE49-F238E27FC236}">
              <a16:creationId xmlns:a16="http://schemas.microsoft.com/office/drawing/2014/main" id="{C233B784-426A-4BD3-95CC-80D9538991BC}"/>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852627" y="120113381"/>
          <a:ext cx="432000" cy="422475"/>
        </a:xfrm>
        <a:prstGeom prst="rect">
          <a:avLst/>
        </a:prstGeom>
        <a:ln>
          <a:solidFill>
            <a:schemeClr val="tx1"/>
          </a:solidFill>
        </a:ln>
      </xdr:spPr>
    </xdr:pic>
    <xdr:clientData/>
  </xdr:twoCellAnchor>
  <xdr:twoCellAnchor>
    <xdr:from>
      <xdr:col>12</xdr:col>
      <xdr:colOff>430735</xdr:colOff>
      <xdr:row>289</xdr:row>
      <xdr:rowOff>23811</xdr:rowOff>
    </xdr:from>
    <xdr:to>
      <xdr:col>12</xdr:col>
      <xdr:colOff>862735</xdr:colOff>
      <xdr:row>289</xdr:row>
      <xdr:rowOff>446286</xdr:rowOff>
    </xdr:to>
    <xdr:pic>
      <xdr:nvPicPr>
        <xdr:cNvPr id="736" name="Picture 735" descr="head protection">
          <a:extLst>
            <a:ext uri="{FF2B5EF4-FFF2-40B4-BE49-F238E27FC236}">
              <a16:creationId xmlns:a16="http://schemas.microsoft.com/office/drawing/2014/main" id="{2C50B37B-3FF9-44C6-A849-3EFA0137275E}"/>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29223632"/>
          <a:ext cx="432000" cy="422475"/>
        </a:xfrm>
        <a:prstGeom prst="rect">
          <a:avLst/>
        </a:prstGeom>
        <a:noFill/>
        <a:ln>
          <a:noFill/>
        </a:ln>
      </xdr:spPr>
    </xdr:pic>
    <xdr:clientData/>
  </xdr:twoCellAnchor>
  <xdr:twoCellAnchor>
    <xdr:from>
      <xdr:col>12</xdr:col>
      <xdr:colOff>481990</xdr:colOff>
      <xdr:row>292</xdr:row>
      <xdr:rowOff>20408</xdr:rowOff>
    </xdr:from>
    <xdr:to>
      <xdr:col>12</xdr:col>
      <xdr:colOff>913990</xdr:colOff>
      <xdr:row>292</xdr:row>
      <xdr:rowOff>442883</xdr:rowOff>
    </xdr:to>
    <xdr:pic>
      <xdr:nvPicPr>
        <xdr:cNvPr id="737" name="Picture 736">
          <a:extLst>
            <a:ext uri="{FF2B5EF4-FFF2-40B4-BE49-F238E27FC236}">
              <a16:creationId xmlns:a16="http://schemas.microsoft.com/office/drawing/2014/main" id="{C68A0362-7155-4782-BC6B-10619388A40F}"/>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30587747"/>
          <a:ext cx="432000" cy="422475"/>
        </a:xfrm>
        <a:prstGeom prst="rect">
          <a:avLst/>
        </a:prstGeom>
        <a:noFill/>
        <a:ln>
          <a:noFill/>
        </a:ln>
      </xdr:spPr>
    </xdr:pic>
    <xdr:clientData/>
  </xdr:twoCellAnchor>
  <xdr:twoCellAnchor>
    <xdr:from>
      <xdr:col>12</xdr:col>
      <xdr:colOff>476094</xdr:colOff>
      <xdr:row>294</xdr:row>
      <xdr:rowOff>18142</xdr:rowOff>
    </xdr:from>
    <xdr:to>
      <xdr:col>12</xdr:col>
      <xdr:colOff>908094</xdr:colOff>
      <xdr:row>294</xdr:row>
      <xdr:rowOff>440617</xdr:rowOff>
    </xdr:to>
    <xdr:pic>
      <xdr:nvPicPr>
        <xdr:cNvPr id="738" name="Picture 737" descr="safety vests">
          <a:extLst>
            <a:ext uri="{FF2B5EF4-FFF2-40B4-BE49-F238E27FC236}">
              <a16:creationId xmlns:a16="http://schemas.microsoft.com/office/drawing/2014/main" id="{CE6C83E2-FBF3-43CF-AE1C-AEEC2026E8F4}"/>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830505" y="131497160"/>
          <a:ext cx="432000" cy="422475"/>
        </a:xfrm>
        <a:prstGeom prst="rect">
          <a:avLst/>
        </a:prstGeom>
        <a:noFill/>
        <a:ln>
          <a:noFill/>
        </a:ln>
      </xdr:spPr>
    </xdr:pic>
    <xdr:clientData/>
  </xdr:twoCellAnchor>
  <xdr:twoCellAnchor>
    <xdr:from>
      <xdr:col>12</xdr:col>
      <xdr:colOff>479048</xdr:colOff>
      <xdr:row>290</xdr:row>
      <xdr:rowOff>18541</xdr:rowOff>
    </xdr:from>
    <xdr:to>
      <xdr:col>12</xdr:col>
      <xdr:colOff>911048</xdr:colOff>
      <xdr:row>290</xdr:row>
      <xdr:rowOff>441016</xdr:rowOff>
    </xdr:to>
    <xdr:pic>
      <xdr:nvPicPr>
        <xdr:cNvPr id="739" name="Picture 738">
          <a:extLst>
            <a:ext uri="{FF2B5EF4-FFF2-40B4-BE49-F238E27FC236}">
              <a16:creationId xmlns:a16="http://schemas.microsoft.com/office/drawing/2014/main" id="{1F69ADD4-D84A-4D50-9FBC-2211EE8CABB6}"/>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33459" y="129674202"/>
          <a:ext cx="432000" cy="422475"/>
        </a:xfrm>
        <a:prstGeom prst="rect">
          <a:avLst/>
        </a:prstGeom>
        <a:noFill/>
      </xdr:spPr>
    </xdr:pic>
    <xdr:clientData/>
  </xdr:twoCellAnchor>
  <xdr:twoCellAnchor>
    <xdr:from>
      <xdr:col>12</xdr:col>
      <xdr:colOff>472691</xdr:colOff>
      <xdr:row>291</xdr:row>
      <xdr:rowOff>20410</xdr:rowOff>
    </xdr:from>
    <xdr:to>
      <xdr:col>12</xdr:col>
      <xdr:colOff>905440</xdr:colOff>
      <xdr:row>291</xdr:row>
      <xdr:rowOff>452410</xdr:rowOff>
    </xdr:to>
    <xdr:pic>
      <xdr:nvPicPr>
        <xdr:cNvPr id="740" name="Picture 739">
          <a:extLst>
            <a:ext uri="{FF2B5EF4-FFF2-40B4-BE49-F238E27FC236}">
              <a16:creationId xmlns:a16="http://schemas.microsoft.com/office/drawing/2014/main" id="{EE7BEF0A-C065-4B67-BEF2-F1F1E21CA79C}"/>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827102" y="130131910"/>
          <a:ext cx="432749" cy="432000"/>
        </a:xfrm>
        <a:prstGeom prst="rect">
          <a:avLst/>
        </a:prstGeom>
      </xdr:spPr>
    </xdr:pic>
    <xdr:clientData/>
  </xdr:twoCellAnchor>
  <xdr:twoCellAnchor>
    <xdr:from>
      <xdr:col>12</xdr:col>
      <xdr:colOff>476250</xdr:colOff>
      <xdr:row>293</xdr:row>
      <xdr:rowOff>17010</xdr:rowOff>
    </xdr:from>
    <xdr:to>
      <xdr:col>12</xdr:col>
      <xdr:colOff>908250</xdr:colOff>
      <xdr:row>293</xdr:row>
      <xdr:rowOff>449010</xdr:rowOff>
    </xdr:to>
    <xdr:pic>
      <xdr:nvPicPr>
        <xdr:cNvPr id="741" name="Picture 740">
          <a:extLst>
            <a:ext uri="{FF2B5EF4-FFF2-40B4-BE49-F238E27FC236}">
              <a16:creationId xmlns:a16="http://schemas.microsoft.com/office/drawing/2014/main" id="{2EDF069B-AA98-4D12-B84C-A98EDAF1782B}"/>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830661" y="131040189"/>
          <a:ext cx="432000" cy="432000"/>
        </a:xfrm>
        <a:prstGeom prst="rect">
          <a:avLst/>
        </a:prstGeom>
      </xdr:spPr>
    </xdr:pic>
    <xdr:clientData/>
  </xdr:twoCellAnchor>
  <xdr:twoCellAnchor>
    <xdr:from>
      <xdr:col>12</xdr:col>
      <xdr:colOff>436563</xdr:colOff>
      <xdr:row>295</xdr:row>
      <xdr:rowOff>17008</xdr:rowOff>
    </xdr:from>
    <xdr:to>
      <xdr:col>12</xdr:col>
      <xdr:colOff>868563</xdr:colOff>
      <xdr:row>295</xdr:row>
      <xdr:rowOff>449008</xdr:rowOff>
    </xdr:to>
    <xdr:pic>
      <xdr:nvPicPr>
        <xdr:cNvPr id="742" name="Picture 741">
          <a:extLst>
            <a:ext uri="{FF2B5EF4-FFF2-40B4-BE49-F238E27FC236}">
              <a16:creationId xmlns:a16="http://schemas.microsoft.com/office/drawing/2014/main" id="{02DE7A66-0BA5-41D8-BAD2-4A822BB3FCC6}"/>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5790974" y="131951865"/>
          <a:ext cx="432000" cy="432000"/>
        </a:xfrm>
        <a:prstGeom prst="rect">
          <a:avLst/>
        </a:prstGeom>
      </xdr:spPr>
    </xdr:pic>
    <xdr:clientData/>
  </xdr:twoCellAnchor>
  <xdr:twoCellAnchor>
    <xdr:from>
      <xdr:col>12</xdr:col>
      <xdr:colOff>443370</xdr:colOff>
      <xdr:row>296</xdr:row>
      <xdr:rowOff>17007</xdr:rowOff>
    </xdr:from>
    <xdr:to>
      <xdr:col>12</xdr:col>
      <xdr:colOff>875370</xdr:colOff>
      <xdr:row>296</xdr:row>
      <xdr:rowOff>449007</xdr:rowOff>
    </xdr:to>
    <xdr:pic>
      <xdr:nvPicPr>
        <xdr:cNvPr id="743" name="Picture 742">
          <a:extLst>
            <a:ext uri="{FF2B5EF4-FFF2-40B4-BE49-F238E27FC236}">
              <a16:creationId xmlns:a16="http://schemas.microsoft.com/office/drawing/2014/main" id="{5D68BA54-FAA3-4DB5-86CA-DCCE50A41F22}"/>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797781" y="132407703"/>
          <a:ext cx="432000" cy="432000"/>
        </a:xfrm>
        <a:prstGeom prst="rect">
          <a:avLst/>
        </a:prstGeom>
        <a:noFill/>
      </xdr:spPr>
    </xdr:pic>
    <xdr:clientData/>
  </xdr:twoCellAnchor>
  <xdr:twoCellAnchor>
    <xdr:from>
      <xdr:col>12</xdr:col>
      <xdr:colOff>457020</xdr:colOff>
      <xdr:row>297</xdr:row>
      <xdr:rowOff>30345</xdr:rowOff>
    </xdr:from>
    <xdr:to>
      <xdr:col>12</xdr:col>
      <xdr:colOff>889020</xdr:colOff>
      <xdr:row>297</xdr:row>
      <xdr:rowOff>452820</xdr:rowOff>
    </xdr:to>
    <xdr:pic>
      <xdr:nvPicPr>
        <xdr:cNvPr id="744" name="Picture 743">
          <a:extLst>
            <a:ext uri="{FF2B5EF4-FFF2-40B4-BE49-F238E27FC236}">
              <a16:creationId xmlns:a16="http://schemas.microsoft.com/office/drawing/2014/main" id="{279FE800-0A3E-4733-910C-2C73447E6CBE}"/>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811431" y="132876881"/>
          <a:ext cx="432000" cy="422475"/>
        </a:xfrm>
        <a:prstGeom prst="rect">
          <a:avLst/>
        </a:prstGeom>
        <a:ln>
          <a:solidFill>
            <a:schemeClr val="tx1"/>
          </a:solidFill>
        </a:ln>
      </xdr:spPr>
    </xdr:pic>
    <xdr:clientData/>
  </xdr:twoCellAnchor>
  <xdr:twoCellAnchor>
    <xdr:from>
      <xdr:col>12</xdr:col>
      <xdr:colOff>481990</xdr:colOff>
      <xdr:row>300</xdr:row>
      <xdr:rowOff>20408</xdr:rowOff>
    </xdr:from>
    <xdr:to>
      <xdr:col>12</xdr:col>
      <xdr:colOff>913990</xdr:colOff>
      <xdr:row>300</xdr:row>
      <xdr:rowOff>442883</xdr:rowOff>
    </xdr:to>
    <xdr:pic>
      <xdr:nvPicPr>
        <xdr:cNvPr id="745" name="Picture 744">
          <a:extLst>
            <a:ext uri="{FF2B5EF4-FFF2-40B4-BE49-F238E27FC236}">
              <a16:creationId xmlns:a16="http://schemas.microsoft.com/office/drawing/2014/main" id="{B38DF64E-9747-4A53-8320-F741E389C613}"/>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8877597" y="126485194"/>
          <a:ext cx="432000" cy="422475"/>
        </a:xfrm>
        <a:prstGeom prst="rect">
          <a:avLst/>
        </a:prstGeom>
        <a:noFill/>
        <a:ln>
          <a:noFill/>
        </a:ln>
      </xdr:spPr>
    </xdr:pic>
    <xdr:clientData/>
  </xdr:twoCellAnchor>
  <xdr:twoCellAnchor>
    <xdr:from>
      <xdr:col>12</xdr:col>
      <xdr:colOff>476094</xdr:colOff>
      <xdr:row>302</xdr:row>
      <xdr:rowOff>18142</xdr:rowOff>
    </xdr:from>
    <xdr:to>
      <xdr:col>12</xdr:col>
      <xdr:colOff>908094</xdr:colOff>
      <xdr:row>302</xdr:row>
      <xdr:rowOff>440617</xdr:rowOff>
    </xdr:to>
    <xdr:pic>
      <xdr:nvPicPr>
        <xdr:cNvPr id="746" name="Picture 745" descr="safety vests">
          <a:extLst>
            <a:ext uri="{FF2B5EF4-FFF2-40B4-BE49-F238E27FC236}">
              <a16:creationId xmlns:a16="http://schemas.microsoft.com/office/drawing/2014/main" id="{6223EA2A-40C8-4704-A0E7-4A9AC65CC892}"/>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8871701" y="127394606"/>
          <a:ext cx="432000" cy="422475"/>
        </a:xfrm>
        <a:prstGeom prst="rect">
          <a:avLst/>
        </a:prstGeom>
        <a:noFill/>
        <a:ln>
          <a:noFill/>
        </a:ln>
      </xdr:spPr>
    </xdr:pic>
    <xdr:clientData/>
  </xdr:twoCellAnchor>
  <xdr:twoCellAnchor>
    <xdr:from>
      <xdr:col>12</xdr:col>
      <xdr:colOff>479048</xdr:colOff>
      <xdr:row>298</xdr:row>
      <xdr:rowOff>18541</xdr:rowOff>
    </xdr:from>
    <xdr:to>
      <xdr:col>12</xdr:col>
      <xdr:colOff>911048</xdr:colOff>
      <xdr:row>298</xdr:row>
      <xdr:rowOff>441016</xdr:rowOff>
    </xdr:to>
    <xdr:pic>
      <xdr:nvPicPr>
        <xdr:cNvPr id="747" name="Picture 746">
          <a:extLst>
            <a:ext uri="{FF2B5EF4-FFF2-40B4-BE49-F238E27FC236}">
              <a16:creationId xmlns:a16="http://schemas.microsoft.com/office/drawing/2014/main" id="{D184AE7F-E12F-4111-BC8F-B3B66F8FF682}"/>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74655" y="125571648"/>
          <a:ext cx="432000" cy="422475"/>
        </a:xfrm>
        <a:prstGeom prst="rect">
          <a:avLst/>
        </a:prstGeom>
        <a:noFill/>
      </xdr:spPr>
    </xdr:pic>
    <xdr:clientData/>
  </xdr:twoCellAnchor>
  <xdr:twoCellAnchor>
    <xdr:from>
      <xdr:col>12</xdr:col>
      <xdr:colOff>472691</xdr:colOff>
      <xdr:row>299</xdr:row>
      <xdr:rowOff>20410</xdr:rowOff>
    </xdr:from>
    <xdr:to>
      <xdr:col>12</xdr:col>
      <xdr:colOff>905440</xdr:colOff>
      <xdr:row>299</xdr:row>
      <xdr:rowOff>452410</xdr:rowOff>
    </xdr:to>
    <xdr:pic>
      <xdr:nvPicPr>
        <xdr:cNvPr id="748" name="Picture 747">
          <a:extLst>
            <a:ext uri="{FF2B5EF4-FFF2-40B4-BE49-F238E27FC236}">
              <a16:creationId xmlns:a16="http://schemas.microsoft.com/office/drawing/2014/main" id="{7CC50768-40D7-4113-84C7-5693C77D3955}"/>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868298" y="126029356"/>
          <a:ext cx="432749" cy="432000"/>
        </a:xfrm>
        <a:prstGeom prst="rect">
          <a:avLst/>
        </a:prstGeom>
      </xdr:spPr>
    </xdr:pic>
    <xdr:clientData/>
  </xdr:twoCellAnchor>
  <xdr:twoCellAnchor>
    <xdr:from>
      <xdr:col>12</xdr:col>
      <xdr:colOff>476250</xdr:colOff>
      <xdr:row>301</xdr:row>
      <xdr:rowOff>17010</xdr:rowOff>
    </xdr:from>
    <xdr:to>
      <xdr:col>12</xdr:col>
      <xdr:colOff>908250</xdr:colOff>
      <xdr:row>301</xdr:row>
      <xdr:rowOff>449010</xdr:rowOff>
    </xdr:to>
    <xdr:pic>
      <xdr:nvPicPr>
        <xdr:cNvPr id="749" name="Picture 748">
          <a:extLst>
            <a:ext uri="{FF2B5EF4-FFF2-40B4-BE49-F238E27FC236}">
              <a16:creationId xmlns:a16="http://schemas.microsoft.com/office/drawing/2014/main" id="{50FD4AE2-9191-4EC1-88FC-E7020AF5D60A}"/>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8871857" y="126937635"/>
          <a:ext cx="432000" cy="432000"/>
        </a:xfrm>
        <a:prstGeom prst="rect">
          <a:avLst/>
        </a:prstGeom>
      </xdr:spPr>
    </xdr:pic>
    <xdr:clientData/>
  </xdr:twoCellAnchor>
  <xdr:twoCellAnchor>
    <xdr:from>
      <xdr:col>12</xdr:col>
      <xdr:colOff>436563</xdr:colOff>
      <xdr:row>303</xdr:row>
      <xdr:rowOff>17008</xdr:rowOff>
    </xdr:from>
    <xdr:to>
      <xdr:col>12</xdr:col>
      <xdr:colOff>868563</xdr:colOff>
      <xdr:row>303</xdr:row>
      <xdr:rowOff>449008</xdr:rowOff>
    </xdr:to>
    <xdr:pic>
      <xdr:nvPicPr>
        <xdr:cNvPr id="750" name="Picture 749">
          <a:extLst>
            <a:ext uri="{FF2B5EF4-FFF2-40B4-BE49-F238E27FC236}">
              <a16:creationId xmlns:a16="http://schemas.microsoft.com/office/drawing/2014/main" id="{4B696BC2-7711-40B0-A37F-89D70BFA52C2}"/>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8832170" y="127849312"/>
          <a:ext cx="432000" cy="432000"/>
        </a:xfrm>
        <a:prstGeom prst="rect">
          <a:avLst/>
        </a:prstGeom>
      </xdr:spPr>
    </xdr:pic>
    <xdr:clientData/>
  </xdr:twoCellAnchor>
  <xdr:twoCellAnchor>
    <xdr:from>
      <xdr:col>12</xdr:col>
      <xdr:colOff>443370</xdr:colOff>
      <xdr:row>304</xdr:row>
      <xdr:rowOff>17007</xdr:rowOff>
    </xdr:from>
    <xdr:to>
      <xdr:col>12</xdr:col>
      <xdr:colOff>875370</xdr:colOff>
      <xdr:row>304</xdr:row>
      <xdr:rowOff>449007</xdr:rowOff>
    </xdr:to>
    <xdr:pic>
      <xdr:nvPicPr>
        <xdr:cNvPr id="751" name="Picture 750">
          <a:extLst>
            <a:ext uri="{FF2B5EF4-FFF2-40B4-BE49-F238E27FC236}">
              <a16:creationId xmlns:a16="http://schemas.microsoft.com/office/drawing/2014/main" id="{B1A83003-0D96-450D-8D61-784B0F974973}"/>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8838977" y="128305150"/>
          <a:ext cx="432000" cy="432000"/>
        </a:xfrm>
        <a:prstGeom prst="rect">
          <a:avLst/>
        </a:prstGeom>
        <a:noFill/>
      </xdr:spPr>
    </xdr:pic>
    <xdr:clientData/>
  </xdr:twoCellAnchor>
  <xdr:twoCellAnchor>
    <xdr:from>
      <xdr:col>12</xdr:col>
      <xdr:colOff>457020</xdr:colOff>
      <xdr:row>305</xdr:row>
      <xdr:rowOff>30345</xdr:rowOff>
    </xdr:from>
    <xdr:to>
      <xdr:col>12</xdr:col>
      <xdr:colOff>889020</xdr:colOff>
      <xdr:row>305</xdr:row>
      <xdr:rowOff>452820</xdr:rowOff>
    </xdr:to>
    <xdr:pic>
      <xdr:nvPicPr>
        <xdr:cNvPr id="752" name="Picture 751">
          <a:extLst>
            <a:ext uri="{FF2B5EF4-FFF2-40B4-BE49-F238E27FC236}">
              <a16:creationId xmlns:a16="http://schemas.microsoft.com/office/drawing/2014/main" id="{677D1673-76E4-441B-B1E9-FDB44F447356}"/>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852627" y="128774327"/>
          <a:ext cx="432000" cy="422475"/>
        </a:xfrm>
        <a:prstGeom prst="rect">
          <a:avLst/>
        </a:prstGeom>
        <a:ln>
          <a:solidFill>
            <a:schemeClr val="tx1"/>
          </a:solidFill>
        </a:ln>
      </xdr:spPr>
    </xdr:pic>
    <xdr:clientData/>
  </xdr:twoCellAnchor>
  <xdr:twoCellAnchor>
    <xdr:from>
      <xdr:col>12</xdr:col>
      <xdr:colOff>481990</xdr:colOff>
      <xdr:row>306</xdr:row>
      <xdr:rowOff>20408</xdr:rowOff>
    </xdr:from>
    <xdr:to>
      <xdr:col>12</xdr:col>
      <xdr:colOff>913990</xdr:colOff>
      <xdr:row>306</xdr:row>
      <xdr:rowOff>442883</xdr:rowOff>
    </xdr:to>
    <xdr:pic>
      <xdr:nvPicPr>
        <xdr:cNvPr id="759" name="Picture 758">
          <a:extLst>
            <a:ext uri="{FF2B5EF4-FFF2-40B4-BE49-F238E27FC236}">
              <a16:creationId xmlns:a16="http://schemas.microsoft.com/office/drawing/2014/main" id="{2179A236-B39F-4901-9C43-641C9CDAFE63}"/>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33778622"/>
          <a:ext cx="432000" cy="422475"/>
        </a:xfrm>
        <a:prstGeom prst="rect">
          <a:avLst/>
        </a:prstGeom>
        <a:noFill/>
        <a:ln>
          <a:noFill/>
        </a:ln>
      </xdr:spPr>
    </xdr:pic>
    <xdr:clientData/>
  </xdr:twoCellAnchor>
  <xdr:twoCellAnchor>
    <xdr:from>
      <xdr:col>12</xdr:col>
      <xdr:colOff>476094</xdr:colOff>
      <xdr:row>308</xdr:row>
      <xdr:rowOff>18142</xdr:rowOff>
    </xdr:from>
    <xdr:to>
      <xdr:col>12</xdr:col>
      <xdr:colOff>908094</xdr:colOff>
      <xdr:row>308</xdr:row>
      <xdr:rowOff>440617</xdr:rowOff>
    </xdr:to>
    <xdr:pic>
      <xdr:nvPicPr>
        <xdr:cNvPr id="760" name="Picture 759" descr="safety vests">
          <a:extLst>
            <a:ext uri="{FF2B5EF4-FFF2-40B4-BE49-F238E27FC236}">
              <a16:creationId xmlns:a16="http://schemas.microsoft.com/office/drawing/2014/main" id="{6B52C3F2-508A-4DA7-9CF7-D3488B542578}"/>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830505" y="134688035"/>
          <a:ext cx="432000" cy="422475"/>
        </a:xfrm>
        <a:prstGeom prst="rect">
          <a:avLst/>
        </a:prstGeom>
        <a:noFill/>
        <a:ln>
          <a:noFill/>
        </a:ln>
      </xdr:spPr>
    </xdr:pic>
    <xdr:clientData/>
  </xdr:twoCellAnchor>
  <xdr:twoCellAnchor>
    <xdr:from>
      <xdr:col>12</xdr:col>
      <xdr:colOff>476250</xdr:colOff>
      <xdr:row>307</xdr:row>
      <xdr:rowOff>17010</xdr:rowOff>
    </xdr:from>
    <xdr:to>
      <xdr:col>12</xdr:col>
      <xdr:colOff>908250</xdr:colOff>
      <xdr:row>307</xdr:row>
      <xdr:rowOff>449010</xdr:rowOff>
    </xdr:to>
    <xdr:pic>
      <xdr:nvPicPr>
        <xdr:cNvPr id="761" name="Picture 760">
          <a:extLst>
            <a:ext uri="{FF2B5EF4-FFF2-40B4-BE49-F238E27FC236}">
              <a16:creationId xmlns:a16="http://schemas.microsoft.com/office/drawing/2014/main" id="{0AAE811F-C00F-4DD4-9950-B5D52DDCEA24}"/>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830661" y="134231064"/>
          <a:ext cx="432000" cy="432000"/>
        </a:xfrm>
        <a:prstGeom prst="rect">
          <a:avLst/>
        </a:prstGeom>
      </xdr:spPr>
    </xdr:pic>
    <xdr:clientData/>
  </xdr:twoCellAnchor>
  <xdr:twoCellAnchor>
    <xdr:from>
      <xdr:col>12</xdr:col>
      <xdr:colOff>436563</xdr:colOff>
      <xdr:row>309</xdr:row>
      <xdr:rowOff>17008</xdr:rowOff>
    </xdr:from>
    <xdr:to>
      <xdr:col>12</xdr:col>
      <xdr:colOff>868563</xdr:colOff>
      <xdr:row>309</xdr:row>
      <xdr:rowOff>449008</xdr:rowOff>
    </xdr:to>
    <xdr:pic>
      <xdr:nvPicPr>
        <xdr:cNvPr id="762" name="Picture 761">
          <a:extLst>
            <a:ext uri="{FF2B5EF4-FFF2-40B4-BE49-F238E27FC236}">
              <a16:creationId xmlns:a16="http://schemas.microsoft.com/office/drawing/2014/main" id="{9D2437DB-F2ED-423F-B2A8-16E263DE2A1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flipH="1">
          <a:off x="5790974" y="135142740"/>
          <a:ext cx="432000" cy="432000"/>
        </a:xfrm>
        <a:prstGeom prst="rect">
          <a:avLst/>
        </a:prstGeom>
      </xdr:spPr>
    </xdr:pic>
    <xdr:clientData/>
  </xdr:twoCellAnchor>
  <xdr:twoCellAnchor>
    <xdr:from>
      <xdr:col>12</xdr:col>
      <xdr:colOff>443370</xdr:colOff>
      <xdr:row>310</xdr:row>
      <xdr:rowOff>17007</xdr:rowOff>
    </xdr:from>
    <xdr:to>
      <xdr:col>12</xdr:col>
      <xdr:colOff>875370</xdr:colOff>
      <xdr:row>310</xdr:row>
      <xdr:rowOff>449007</xdr:rowOff>
    </xdr:to>
    <xdr:pic>
      <xdr:nvPicPr>
        <xdr:cNvPr id="763" name="Picture 762">
          <a:extLst>
            <a:ext uri="{FF2B5EF4-FFF2-40B4-BE49-F238E27FC236}">
              <a16:creationId xmlns:a16="http://schemas.microsoft.com/office/drawing/2014/main" id="{28C8357C-5778-46A7-8986-07AE79AE5BFE}"/>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5797781" y="135598578"/>
          <a:ext cx="432000" cy="432000"/>
        </a:xfrm>
        <a:prstGeom prst="rect">
          <a:avLst/>
        </a:prstGeom>
        <a:noFill/>
      </xdr:spPr>
    </xdr:pic>
    <xdr:clientData/>
  </xdr:twoCellAnchor>
  <xdr:twoCellAnchor>
    <xdr:from>
      <xdr:col>12</xdr:col>
      <xdr:colOff>457020</xdr:colOff>
      <xdr:row>311</xdr:row>
      <xdr:rowOff>30345</xdr:rowOff>
    </xdr:from>
    <xdr:to>
      <xdr:col>12</xdr:col>
      <xdr:colOff>889020</xdr:colOff>
      <xdr:row>311</xdr:row>
      <xdr:rowOff>452820</xdr:rowOff>
    </xdr:to>
    <xdr:pic>
      <xdr:nvPicPr>
        <xdr:cNvPr id="764" name="Picture 763">
          <a:extLst>
            <a:ext uri="{FF2B5EF4-FFF2-40B4-BE49-F238E27FC236}">
              <a16:creationId xmlns:a16="http://schemas.microsoft.com/office/drawing/2014/main" id="{E95C0CF5-239B-458C-A3B9-3FA8E6408B98}"/>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811431" y="136067756"/>
          <a:ext cx="432000" cy="422475"/>
        </a:xfrm>
        <a:prstGeom prst="rect">
          <a:avLst/>
        </a:prstGeom>
        <a:ln>
          <a:solidFill>
            <a:schemeClr val="tx1"/>
          </a:solidFill>
        </a:ln>
      </xdr:spPr>
    </xdr:pic>
    <xdr:clientData/>
  </xdr:twoCellAnchor>
  <xdr:twoCellAnchor>
    <xdr:from>
      <xdr:col>12</xdr:col>
      <xdr:colOff>481990</xdr:colOff>
      <xdr:row>312</xdr:row>
      <xdr:rowOff>20408</xdr:rowOff>
    </xdr:from>
    <xdr:to>
      <xdr:col>12</xdr:col>
      <xdr:colOff>913990</xdr:colOff>
      <xdr:row>312</xdr:row>
      <xdr:rowOff>442883</xdr:rowOff>
    </xdr:to>
    <xdr:pic>
      <xdr:nvPicPr>
        <xdr:cNvPr id="765" name="Picture 764">
          <a:extLst>
            <a:ext uri="{FF2B5EF4-FFF2-40B4-BE49-F238E27FC236}">
              <a16:creationId xmlns:a16="http://schemas.microsoft.com/office/drawing/2014/main" id="{17A6D4B5-9C2E-4759-8CE8-FCD9282AE644}"/>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38337015"/>
          <a:ext cx="432000" cy="422475"/>
        </a:xfrm>
        <a:prstGeom prst="rect">
          <a:avLst/>
        </a:prstGeom>
        <a:noFill/>
        <a:ln>
          <a:noFill/>
        </a:ln>
      </xdr:spPr>
    </xdr:pic>
    <xdr:clientData/>
  </xdr:twoCellAnchor>
  <xdr:twoCellAnchor>
    <xdr:from>
      <xdr:col>12</xdr:col>
      <xdr:colOff>476094</xdr:colOff>
      <xdr:row>314</xdr:row>
      <xdr:rowOff>18142</xdr:rowOff>
    </xdr:from>
    <xdr:to>
      <xdr:col>12</xdr:col>
      <xdr:colOff>908094</xdr:colOff>
      <xdr:row>314</xdr:row>
      <xdr:rowOff>440617</xdr:rowOff>
    </xdr:to>
    <xdr:pic>
      <xdr:nvPicPr>
        <xdr:cNvPr id="766" name="Picture 765" descr="safety vests">
          <a:extLst>
            <a:ext uri="{FF2B5EF4-FFF2-40B4-BE49-F238E27FC236}">
              <a16:creationId xmlns:a16="http://schemas.microsoft.com/office/drawing/2014/main" id="{A2F4FB8A-76A1-4307-B993-862EBB2DB294}"/>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830505" y="139246428"/>
          <a:ext cx="432000" cy="422475"/>
        </a:xfrm>
        <a:prstGeom prst="rect">
          <a:avLst/>
        </a:prstGeom>
        <a:noFill/>
        <a:ln>
          <a:noFill/>
        </a:ln>
      </xdr:spPr>
    </xdr:pic>
    <xdr:clientData/>
  </xdr:twoCellAnchor>
  <xdr:twoCellAnchor>
    <xdr:from>
      <xdr:col>12</xdr:col>
      <xdr:colOff>476250</xdr:colOff>
      <xdr:row>313</xdr:row>
      <xdr:rowOff>17010</xdr:rowOff>
    </xdr:from>
    <xdr:to>
      <xdr:col>12</xdr:col>
      <xdr:colOff>908250</xdr:colOff>
      <xdr:row>313</xdr:row>
      <xdr:rowOff>449010</xdr:rowOff>
    </xdr:to>
    <xdr:pic>
      <xdr:nvPicPr>
        <xdr:cNvPr id="767" name="Picture 766">
          <a:extLst>
            <a:ext uri="{FF2B5EF4-FFF2-40B4-BE49-F238E27FC236}">
              <a16:creationId xmlns:a16="http://schemas.microsoft.com/office/drawing/2014/main" id="{3D264F04-E533-4B8E-BBCA-2007C0B952CB}"/>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830661" y="138789456"/>
          <a:ext cx="432000" cy="432000"/>
        </a:xfrm>
        <a:prstGeom prst="rect">
          <a:avLst/>
        </a:prstGeom>
      </xdr:spPr>
    </xdr:pic>
    <xdr:clientData/>
  </xdr:twoCellAnchor>
  <xdr:twoCellAnchor>
    <xdr:from>
      <xdr:col>12</xdr:col>
      <xdr:colOff>436563</xdr:colOff>
      <xdr:row>315</xdr:row>
      <xdr:rowOff>17008</xdr:rowOff>
    </xdr:from>
    <xdr:to>
      <xdr:col>12</xdr:col>
      <xdr:colOff>868563</xdr:colOff>
      <xdr:row>315</xdr:row>
      <xdr:rowOff>449008</xdr:rowOff>
    </xdr:to>
    <xdr:pic>
      <xdr:nvPicPr>
        <xdr:cNvPr id="768" name="Picture 767">
          <a:extLst>
            <a:ext uri="{FF2B5EF4-FFF2-40B4-BE49-F238E27FC236}">
              <a16:creationId xmlns:a16="http://schemas.microsoft.com/office/drawing/2014/main" id="{81D720B2-1DFA-4610-82D8-E25D5027BFDD}"/>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flipH="1">
          <a:off x="5790974" y="139701133"/>
          <a:ext cx="432000" cy="432000"/>
        </a:xfrm>
        <a:prstGeom prst="rect">
          <a:avLst/>
        </a:prstGeom>
      </xdr:spPr>
    </xdr:pic>
    <xdr:clientData/>
  </xdr:twoCellAnchor>
  <xdr:twoCellAnchor>
    <xdr:from>
      <xdr:col>12</xdr:col>
      <xdr:colOff>443370</xdr:colOff>
      <xdr:row>316</xdr:row>
      <xdr:rowOff>17007</xdr:rowOff>
    </xdr:from>
    <xdr:to>
      <xdr:col>12</xdr:col>
      <xdr:colOff>875370</xdr:colOff>
      <xdr:row>316</xdr:row>
      <xdr:rowOff>449007</xdr:rowOff>
    </xdr:to>
    <xdr:pic>
      <xdr:nvPicPr>
        <xdr:cNvPr id="769" name="Picture 768">
          <a:extLst>
            <a:ext uri="{FF2B5EF4-FFF2-40B4-BE49-F238E27FC236}">
              <a16:creationId xmlns:a16="http://schemas.microsoft.com/office/drawing/2014/main" id="{C738AE1D-CB40-4493-B1C9-7FFAC4C478AF}"/>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5797781" y="140156971"/>
          <a:ext cx="432000" cy="432000"/>
        </a:xfrm>
        <a:prstGeom prst="rect">
          <a:avLst/>
        </a:prstGeom>
        <a:noFill/>
      </xdr:spPr>
    </xdr:pic>
    <xdr:clientData/>
  </xdr:twoCellAnchor>
  <xdr:twoCellAnchor>
    <xdr:from>
      <xdr:col>12</xdr:col>
      <xdr:colOff>457020</xdr:colOff>
      <xdr:row>317</xdr:row>
      <xdr:rowOff>30345</xdr:rowOff>
    </xdr:from>
    <xdr:to>
      <xdr:col>12</xdr:col>
      <xdr:colOff>889020</xdr:colOff>
      <xdr:row>317</xdr:row>
      <xdr:rowOff>452820</xdr:rowOff>
    </xdr:to>
    <xdr:pic>
      <xdr:nvPicPr>
        <xdr:cNvPr id="770" name="Picture 769">
          <a:extLst>
            <a:ext uri="{FF2B5EF4-FFF2-40B4-BE49-F238E27FC236}">
              <a16:creationId xmlns:a16="http://schemas.microsoft.com/office/drawing/2014/main" id="{583A6374-B06C-4927-8B85-359ABFBD3866}"/>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811431" y="140626149"/>
          <a:ext cx="432000" cy="422475"/>
        </a:xfrm>
        <a:prstGeom prst="rect">
          <a:avLst/>
        </a:prstGeom>
        <a:ln>
          <a:solidFill>
            <a:schemeClr val="tx1"/>
          </a:solidFill>
        </a:ln>
      </xdr:spPr>
    </xdr:pic>
    <xdr:clientData/>
  </xdr:twoCellAnchor>
  <xdr:twoCellAnchor>
    <xdr:from>
      <xdr:col>9</xdr:col>
      <xdr:colOff>472691</xdr:colOff>
      <xdr:row>313</xdr:row>
      <xdr:rowOff>20410</xdr:rowOff>
    </xdr:from>
    <xdr:to>
      <xdr:col>9</xdr:col>
      <xdr:colOff>905440</xdr:colOff>
      <xdr:row>313</xdr:row>
      <xdr:rowOff>452410</xdr:rowOff>
    </xdr:to>
    <xdr:pic>
      <xdr:nvPicPr>
        <xdr:cNvPr id="771" name="Picture 770">
          <a:extLst>
            <a:ext uri="{FF2B5EF4-FFF2-40B4-BE49-F238E27FC236}">
              <a16:creationId xmlns:a16="http://schemas.microsoft.com/office/drawing/2014/main" id="{96E019DD-2D3F-4303-B8CC-F3DCA440046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827102" y="135601981"/>
          <a:ext cx="432749" cy="432000"/>
        </a:xfrm>
        <a:prstGeom prst="rect">
          <a:avLst/>
        </a:prstGeom>
      </xdr:spPr>
    </xdr:pic>
    <xdr:clientData/>
  </xdr:twoCellAnchor>
  <xdr:twoCellAnchor>
    <xdr:from>
      <xdr:col>9</xdr:col>
      <xdr:colOff>472691</xdr:colOff>
      <xdr:row>314</xdr:row>
      <xdr:rowOff>20410</xdr:rowOff>
    </xdr:from>
    <xdr:to>
      <xdr:col>9</xdr:col>
      <xdr:colOff>905440</xdr:colOff>
      <xdr:row>314</xdr:row>
      <xdr:rowOff>452410</xdr:rowOff>
    </xdr:to>
    <xdr:pic>
      <xdr:nvPicPr>
        <xdr:cNvPr id="772" name="Picture 771">
          <a:extLst>
            <a:ext uri="{FF2B5EF4-FFF2-40B4-BE49-F238E27FC236}">
              <a16:creationId xmlns:a16="http://schemas.microsoft.com/office/drawing/2014/main" id="{BA8BB82B-E09A-4969-8C38-B20A5EF8794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827102" y="135601981"/>
          <a:ext cx="432749" cy="432000"/>
        </a:xfrm>
        <a:prstGeom prst="rect">
          <a:avLst/>
        </a:prstGeom>
      </xdr:spPr>
    </xdr:pic>
    <xdr:clientData/>
  </xdr:twoCellAnchor>
  <xdr:twoCellAnchor>
    <xdr:from>
      <xdr:col>9</xdr:col>
      <xdr:colOff>472691</xdr:colOff>
      <xdr:row>315</xdr:row>
      <xdr:rowOff>20410</xdr:rowOff>
    </xdr:from>
    <xdr:to>
      <xdr:col>9</xdr:col>
      <xdr:colOff>905440</xdr:colOff>
      <xdr:row>315</xdr:row>
      <xdr:rowOff>452410</xdr:rowOff>
    </xdr:to>
    <xdr:pic>
      <xdr:nvPicPr>
        <xdr:cNvPr id="773" name="Picture 772">
          <a:extLst>
            <a:ext uri="{FF2B5EF4-FFF2-40B4-BE49-F238E27FC236}">
              <a16:creationId xmlns:a16="http://schemas.microsoft.com/office/drawing/2014/main" id="{A590C257-9358-45C7-A3A3-BF98534E8C6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827102" y="135601981"/>
          <a:ext cx="432749" cy="432000"/>
        </a:xfrm>
        <a:prstGeom prst="rect">
          <a:avLst/>
        </a:prstGeom>
      </xdr:spPr>
    </xdr:pic>
    <xdr:clientData/>
  </xdr:twoCellAnchor>
  <xdr:twoCellAnchor>
    <xdr:from>
      <xdr:col>9</xdr:col>
      <xdr:colOff>472691</xdr:colOff>
      <xdr:row>316</xdr:row>
      <xdr:rowOff>20410</xdr:rowOff>
    </xdr:from>
    <xdr:to>
      <xdr:col>9</xdr:col>
      <xdr:colOff>905440</xdr:colOff>
      <xdr:row>316</xdr:row>
      <xdr:rowOff>452410</xdr:rowOff>
    </xdr:to>
    <xdr:pic>
      <xdr:nvPicPr>
        <xdr:cNvPr id="774" name="Picture 773">
          <a:extLst>
            <a:ext uri="{FF2B5EF4-FFF2-40B4-BE49-F238E27FC236}">
              <a16:creationId xmlns:a16="http://schemas.microsoft.com/office/drawing/2014/main" id="{19B594BC-3942-4D64-BE66-0FF57FD4644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827102" y="135601981"/>
          <a:ext cx="432749" cy="432000"/>
        </a:xfrm>
        <a:prstGeom prst="rect">
          <a:avLst/>
        </a:prstGeom>
      </xdr:spPr>
    </xdr:pic>
    <xdr:clientData/>
  </xdr:twoCellAnchor>
  <xdr:twoCellAnchor>
    <xdr:from>
      <xdr:col>9</xdr:col>
      <xdr:colOff>472691</xdr:colOff>
      <xdr:row>317</xdr:row>
      <xdr:rowOff>20410</xdr:rowOff>
    </xdr:from>
    <xdr:to>
      <xdr:col>9</xdr:col>
      <xdr:colOff>905440</xdr:colOff>
      <xdr:row>317</xdr:row>
      <xdr:rowOff>452410</xdr:rowOff>
    </xdr:to>
    <xdr:pic>
      <xdr:nvPicPr>
        <xdr:cNvPr id="775" name="Picture 774">
          <a:extLst>
            <a:ext uri="{FF2B5EF4-FFF2-40B4-BE49-F238E27FC236}">
              <a16:creationId xmlns:a16="http://schemas.microsoft.com/office/drawing/2014/main" id="{E79D96D9-C11E-4905-8752-437FAE3BD21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827102" y="135601981"/>
          <a:ext cx="432749" cy="432000"/>
        </a:xfrm>
        <a:prstGeom prst="rect">
          <a:avLst/>
        </a:prstGeom>
      </xdr:spPr>
    </xdr:pic>
    <xdr:clientData/>
  </xdr:twoCellAnchor>
  <xdr:twoCellAnchor>
    <xdr:from>
      <xdr:col>9</xdr:col>
      <xdr:colOff>479048</xdr:colOff>
      <xdr:row>307</xdr:row>
      <xdr:rowOff>18541</xdr:rowOff>
    </xdr:from>
    <xdr:to>
      <xdr:col>9</xdr:col>
      <xdr:colOff>911048</xdr:colOff>
      <xdr:row>307</xdr:row>
      <xdr:rowOff>441016</xdr:rowOff>
    </xdr:to>
    <xdr:pic>
      <xdr:nvPicPr>
        <xdr:cNvPr id="776" name="Picture 775">
          <a:extLst>
            <a:ext uri="{FF2B5EF4-FFF2-40B4-BE49-F238E27FC236}">
              <a16:creationId xmlns:a16="http://schemas.microsoft.com/office/drawing/2014/main" id="{C0AA1F5F-E054-42B6-8CF2-7FB1E4497FE2}"/>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33459" y="132865077"/>
          <a:ext cx="432000" cy="422475"/>
        </a:xfrm>
        <a:prstGeom prst="rect">
          <a:avLst/>
        </a:prstGeom>
        <a:noFill/>
      </xdr:spPr>
    </xdr:pic>
    <xdr:clientData/>
  </xdr:twoCellAnchor>
  <xdr:twoCellAnchor>
    <xdr:from>
      <xdr:col>9</xdr:col>
      <xdr:colOff>479048</xdr:colOff>
      <xdr:row>308</xdr:row>
      <xdr:rowOff>18541</xdr:rowOff>
    </xdr:from>
    <xdr:to>
      <xdr:col>9</xdr:col>
      <xdr:colOff>911048</xdr:colOff>
      <xdr:row>308</xdr:row>
      <xdr:rowOff>441016</xdr:rowOff>
    </xdr:to>
    <xdr:pic>
      <xdr:nvPicPr>
        <xdr:cNvPr id="777" name="Picture 776">
          <a:extLst>
            <a:ext uri="{FF2B5EF4-FFF2-40B4-BE49-F238E27FC236}">
              <a16:creationId xmlns:a16="http://schemas.microsoft.com/office/drawing/2014/main" id="{4B7583F4-9A52-4007-8AF8-D0CCD0918004}"/>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33459" y="132865077"/>
          <a:ext cx="432000" cy="422475"/>
        </a:xfrm>
        <a:prstGeom prst="rect">
          <a:avLst/>
        </a:prstGeom>
        <a:noFill/>
      </xdr:spPr>
    </xdr:pic>
    <xdr:clientData/>
  </xdr:twoCellAnchor>
  <xdr:twoCellAnchor>
    <xdr:from>
      <xdr:col>9</xdr:col>
      <xdr:colOff>479048</xdr:colOff>
      <xdr:row>309</xdr:row>
      <xdr:rowOff>18541</xdr:rowOff>
    </xdr:from>
    <xdr:to>
      <xdr:col>9</xdr:col>
      <xdr:colOff>911048</xdr:colOff>
      <xdr:row>309</xdr:row>
      <xdr:rowOff>441016</xdr:rowOff>
    </xdr:to>
    <xdr:pic>
      <xdr:nvPicPr>
        <xdr:cNvPr id="778" name="Picture 777">
          <a:extLst>
            <a:ext uri="{FF2B5EF4-FFF2-40B4-BE49-F238E27FC236}">
              <a16:creationId xmlns:a16="http://schemas.microsoft.com/office/drawing/2014/main" id="{B8B0F6DC-8F79-4669-820D-291A8630A094}"/>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33459" y="132865077"/>
          <a:ext cx="432000" cy="422475"/>
        </a:xfrm>
        <a:prstGeom prst="rect">
          <a:avLst/>
        </a:prstGeom>
        <a:noFill/>
      </xdr:spPr>
    </xdr:pic>
    <xdr:clientData/>
  </xdr:twoCellAnchor>
  <xdr:twoCellAnchor>
    <xdr:from>
      <xdr:col>9</xdr:col>
      <xdr:colOff>479048</xdr:colOff>
      <xdr:row>310</xdr:row>
      <xdr:rowOff>18541</xdr:rowOff>
    </xdr:from>
    <xdr:to>
      <xdr:col>9</xdr:col>
      <xdr:colOff>911048</xdr:colOff>
      <xdr:row>310</xdr:row>
      <xdr:rowOff>441016</xdr:rowOff>
    </xdr:to>
    <xdr:pic>
      <xdr:nvPicPr>
        <xdr:cNvPr id="779" name="Picture 778">
          <a:extLst>
            <a:ext uri="{FF2B5EF4-FFF2-40B4-BE49-F238E27FC236}">
              <a16:creationId xmlns:a16="http://schemas.microsoft.com/office/drawing/2014/main" id="{D82AD2C5-81C0-4883-9499-5D1BCA3732E1}"/>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33459" y="132865077"/>
          <a:ext cx="432000" cy="422475"/>
        </a:xfrm>
        <a:prstGeom prst="rect">
          <a:avLst/>
        </a:prstGeom>
        <a:noFill/>
      </xdr:spPr>
    </xdr:pic>
    <xdr:clientData/>
  </xdr:twoCellAnchor>
  <xdr:twoCellAnchor>
    <xdr:from>
      <xdr:col>9</xdr:col>
      <xdr:colOff>479048</xdr:colOff>
      <xdr:row>311</xdr:row>
      <xdr:rowOff>18541</xdr:rowOff>
    </xdr:from>
    <xdr:to>
      <xdr:col>9</xdr:col>
      <xdr:colOff>911048</xdr:colOff>
      <xdr:row>311</xdr:row>
      <xdr:rowOff>441016</xdr:rowOff>
    </xdr:to>
    <xdr:pic>
      <xdr:nvPicPr>
        <xdr:cNvPr id="780" name="Picture 779">
          <a:extLst>
            <a:ext uri="{FF2B5EF4-FFF2-40B4-BE49-F238E27FC236}">
              <a16:creationId xmlns:a16="http://schemas.microsoft.com/office/drawing/2014/main" id="{EE7584D2-9133-44FF-8D14-62861BF622C7}"/>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33459" y="132865077"/>
          <a:ext cx="432000" cy="422475"/>
        </a:xfrm>
        <a:prstGeom prst="rect">
          <a:avLst/>
        </a:prstGeom>
        <a:noFill/>
      </xdr:spPr>
    </xdr:pic>
    <xdr:clientData/>
  </xdr:twoCellAnchor>
  <xdr:twoCellAnchor>
    <xdr:from>
      <xdr:col>9</xdr:col>
      <xdr:colOff>430735</xdr:colOff>
      <xdr:row>299</xdr:row>
      <xdr:rowOff>23811</xdr:rowOff>
    </xdr:from>
    <xdr:to>
      <xdr:col>9</xdr:col>
      <xdr:colOff>862735</xdr:colOff>
      <xdr:row>299</xdr:row>
      <xdr:rowOff>446286</xdr:rowOff>
    </xdr:to>
    <xdr:pic>
      <xdr:nvPicPr>
        <xdr:cNvPr id="781" name="Picture 780" descr="head protection">
          <a:extLst>
            <a:ext uri="{FF2B5EF4-FFF2-40B4-BE49-F238E27FC236}">
              <a16:creationId xmlns:a16="http://schemas.microsoft.com/office/drawing/2014/main" id="{FB3932DB-CE25-40CB-AE17-5C082F60149E}"/>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29223632"/>
          <a:ext cx="432000" cy="422475"/>
        </a:xfrm>
        <a:prstGeom prst="rect">
          <a:avLst/>
        </a:prstGeom>
        <a:noFill/>
        <a:ln>
          <a:noFill/>
        </a:ln>
      </xdr:spPr>
    </xdr:pic>
    <xdr:clientData/>
  </xdr:twoCellAnchor>
  <xdr:twoCellAnchor>
    <xdr:from>
      <xdr:col>9</xdr:col>
      <xdr:colOff>430735</xdr:colOff>
      <xdr:row>300</xdr:row>
      <xdr:rowOff>23811</xdr:rowOff>
    </xdr:from>
    <xdr:to>
      <xdr:col>9</xdr:col>
      <xdr:colOff>862735</xdr:colOff>
      <xdr:row>300</xdr:row>
      <xdr:rowOff>446286</xdr:rowOff>
    </xdr:to>
    <xdr:pic>
      <xdr:nvPicPr>
        <xdr:cNvPr id="782" name="Picture 781" descr="head protection">
          <a:extLst>
            <a:ext uri="{FF2B5EF4-FFF2-40B4-BE49-F238E27FC236}">
              <a16:creationId xmlns:a16="http://schemas.microsoft.com/office/drawing/2014/main" id="{E942C42F-7154-401E-872D-E76397B0C3B9}"/>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29223632"/>
          <a:ext cx="432000" cy="422475"/>
        </a:xfrm>
        <a:prstGeom prst="rect">
          <a:avLst/>
        </a:prstGeom>
        <a:noFill/>
        <a:ln>
          <a:noFill/>
        </a:ln>
      </xdr:spPr>
    </xdr:pic>
    <xdr:clientData/>
  </xdr:twoCellAnchor>
  <xdr:twoCellAnchor>
    <xdr:from>
      <xdr:col>9</xdr:col>
      <xdr:colOff>430735</xdr:colOff>
      <xdr:row>301</xdr:row>
      <xdr:rowOff>23811</xdr:rowOff>
    </xdr:from>
    <xdr:to>
      <xdr:col>9</xdr:col>
      <xdr:colOff>862735</xdr:colOff>
      <xdr:row>301</xdr:row>
      <xdr:rowOff>446286</xdr:rowOff>
    </xdr:to>
    <xdr:pic>
      <xdr:nvPicPr>
        <xdr:cNvPr id="783" name="Picture 782" descr="head protection">
          <a:extLst>
            <a:ext uri="{FF2B5EF4-FFF2-40B4-BE49-F238E27FC236}">
              <a16:creationId xmlns:a16="http://schemas.microsoft.com/office/drawing/2014/main" id="{2B8A9F27-155A-438A-9972-0660A3D4D96A}"/>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29223632"/>
          <a:ext cx="432000" cy="422475"/>
        </a:xfrm>
        <a:prstGeom prst="rect">
          <a:avLst/>
        </a:prstGeom>
        <a:noFill/>
        <a:ln>
          <a:noFill/>
        </a:ln>
      </xdr:spPr>
    </xdr:pic>
    <xdr:clientData/>
  </xdr:twoCellAnchor>
  <xdr:twoCellAnchor>
    <xdr:from>
      <xdr:col>9</xdr:col>
      <xdr:colOff>430735</xdr:colOff>
      <xdr:row>302</xdr:row>
      <xdr:rowOff>23811</xdr:rowOff>
    </xdr:from>
    <xdr:to>
      <xdr:col>9</xdr:col>
      <xdr:colOff>862735</xdr:colOff>
      <xdr:row>302</xdr:row>
      <xdr:rowOff>446286</xdr:rowOff>
    </xdr:to>
    <xdr:pic>
      <xdr:nvPicPr>
        <xdr:cNvPr id="784" name="Picture 783" descr="head protection">
          <a:extLst>
            <a:ext uri="{FF2B5EF4-FFF2-40B4-BE49-F238E27FC236}">
              <a16:creationId xmlns:a16="http://schemas.microsoft.com/office/drawing/2014/main" id="{D13AF5F9-764A-40AF-8597-3A0CD94518E4}"/>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29223632"/>
          <a:ext cx="432000" cy="422475"/>
        </a:xfrm>
        <a:prstGeom prst="rect">
          <a:avLst/>
        </a:prstGeom>
        <a:noFill/>
        <a:ln>
          <a:noFill/>
        </a:ln>
      </xdr:spPr>
    </xdr:pic>
    <xdr:clientData/>
  </xdr:twoCellAnchor>
  <xdr:twoCellAnchor>
    <xdr:from>
      <xdr:col>9</xdr:col>
      <xdr:colOff>430735</xdr:colOff>
      <xdr:row>303</xdr:row>
      <xdr:rowOff>23811</xdr:rowOff>
    </xdr:from>
    <xdr:to>
      <xdr:col>9</xdr:col>
      <xdr:colOff>862735</xdr:colOff>
      <xdr:row>303</xdr:row>
      <xdr:rowOff>446286</xdr:rowOff>
    </xdr:to>
    <xdr:pic>
      <xdr:nvPicPr>
        <xdr:cNvPr id="785" name="Picture 784" descr="head protection">
          <a:extLst>
            <a:ext uri="{FF2B5EF4-FFF2-40B4-BE49-F238E27FC236}">
              <a16:creationId xmlns:a16="http://schemas.microsoft.com/office/drawing/2014/main" id="{DCCF7DA6-FEE0-4C00-B1FE-F426B2F2A5B2}"/>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29223632"/>
          <a:ext cx="432000" cy="422475"/>
        </a:xfrm>
        <a:prstGeom prst="rect">
          <a:avLst/>
        </a:prstGeom>
        <a:noFill/>
        <a:ln>
          <a:noFill/>
        </a:ln>
      </xdr:spPr>
    </xdr:pic>
    <xdr:clientData/>
  </xdr:twoCellAnchor>
  <xdr:twoCellAnchor>
    <xdr:from>
      <xdr:col>9</xdr:col>
      <xdr:colOff>430735</xdr:colOff>
      <xdr:row>304</xdr:row>
      <xdr:rowOff>23811</xdr:rowOff>
    </xdr:from>
    <xdr:to>
      <xdr:col>9</xdr:col>
      <xdr:colOff>862735</xdr:colOff>
      <xdr:row>304</xdr:row>
      <xdr:rowOff>446286</xdr:rowOff>
    </xdr:to>
    <xdr:pic>
      <xdr:nvPicPr>
        <xdr:cNvPr id="786" name="Picture 785" descr="head protection">
          <a:extLst>
            <a:ext uri="{FF2B5EF4-FFF2-40B4-BE49-F238E27FC236}">
              <a16:creationId xmlns:a16="http://schemas.microsoft.com/office/drawing/2014/main" id="{AE477D4F-9270-454C-B30C-E27697DD0745}"/>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29223632"/>
          <a:ext cx="432000" cy="422475"/>
        </a:xfrm>
        <a:prstGeom prst="rect">
          <a:avLst/>
        </a:prstGeom>
        <a:noFill/>
        <a:ln>
          <a:noFill/>
        </a:ln>
      </xdr:spPr>
    </xdr:pic>
    <xdr:clientData/>
  </xdr:twoCellAnchor>
  <xdr:twoCellAnchor>
    <xdr:from>
      <xdr:col>9</xdr:col>
      <xdr:colOff>430735</xdr:colOff>
      <xdr:row>305</xdr:row>
      <xdr:rowOff>23811</xdr:rowOff>
    </xdr:from>
    <xdr:to>
      <xdr:col>9</xdr:col>
      <xdr:colOff>862735</xdr:colOff>
      <xdr:row>305</xdr:row>
      <xdr:rowOff>446286</xdr:rowOff>
    </xdr:to>
    <xdr:pic>
      <xdr:nvPicPr>
        <xdr:cNvPr id="787" name="Picture 786" descr="head protection">
          <a:extLst>
            <a:ext uri="{FF2B5EF4-FFF2-40B4-BE49-F238E27FC236}">
              <a16:creationId xmlns:a16="http://schemas.microsoft.com/office/drawing/2014/main" id="{263D37D9-892A-41DF-A632-B02BA82B1061}"/>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785146" y="129223632"/>
          <a:ext cx="432000" cy="422475"/>
        </a:xfrm>
        <a:prstGeom prst="rect">
          <a:avLst/>
        </a:prstGeom>
        <a:noFill/>
        <a:ln>
          <a:noFill/>
        </a:ln>
      </xdr:spPr>
    </xdr:pic>
    <xdr:clientData/>
  </xdr:twoCellAnchor>
  <xdr:twoCellAnchor>
    <xdr:from>
      <xdr:col>9</xdr:col>
      <xdr:colOff>450013</xdr:colOff>
      <xdr:row>290</xdr:row>
      <xdr:rowOff>21543</xdr:rowOff>
    </xdr:from>
    <xdr:to>
      <xdr:col>9</xdr:col>
      <xdr:colOff>882013</xdr:colOff>
      <xdr:row>290</xdr:row>
      <xdr:rowOff>453543</xdr:rowOff>
    </xdr:to>
    <xdr:pic>
      <xdr:nvPicPr>
        <xdr:cNvPr id="788" name="Picture 787" descr="hair protection">
          <a:extLst>
            <a:ext uri="{FF2B5EF4-FFF2-40B4-BE49-F238E27FC236}">
              <a16:creationId xmlns:a16="http://schemas.microsoft.com/office/drawing/2014/main" id="{9FAB47A9-15B1-4E0B-A31D-8AEA97F53EB6}"/>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25118811"/>
          <a:ext cx="432000" cy="432000"/>
        </a:xfrm>
        <a:prstGeom prst="rect">
          <a:avLst/>
        </a:prstGeom>
        <a:noFill/>
        <a:ln>
          <a:noFill/>
        </a:ln>
      </xdr:spPr>
    </xdr:pic>
    <xdr:clientData/>
  </xdr:twoCellAnchor>
  <xdr:twoCellAnchor>
    <xdr:from>
      <xdr:col>9</xdr:col>
      <xdr:colOff>450013</xdr:colOff>
      <xdr:row>291</xdr:row>
      <xdr:rowOff>21543</xdr:rowOff>
    </xdr:from>
    <xdr:to>
      <xdr:col>9</xdr:col>
      <xdr:colOff>882013</xdr:colOff>
      <xdr:row>291</xdr:row>
      <xdr:rowOff>453543</xdr:rowOff>
    </xdr:to>
    <xdr:pic>
      <xdr:nvPicPr>
        <xdr:cNvPr id="789" name="Picture 788" descr="hair protection">
          <a:extLst>
            <a:ext uri="{FF2B5EF4-FFF2-40B4-BE49-F238E27FC236}">
              <a16:creationId xmlns:a16="http://schemas.microsoft.com/office/drawing/2014/main" id="{8A33BCBB-451B-4FE8-A415-B7A40C7BA256}"/>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25118811"/>
          <a:ext cx="432000" cy="432000"/>
        </a:xfrm>
        <a:prstGeom prst="rect">
          <a:avLst/>
        </a:prstGeom>
        <a:noFill/>
        <a:ln>
          <a:noFill/>
        </a:ln>
      </xdr:spPr>
    </xdr:pic>
    <xdr:clientData/>
  </xdr:twoCellAnchor>
  <xdr:twoCellAnchor>
    <xdr:from>
      <xdr:col>9</xdr:col>
      <xdr:colOff>450013</xdr:colOff>
      <xdr:row>292</xdr:row>
      <xdr:rowOff>21543</xdr:rowOff>
    </xdr:from>
    <xdr:to>
      <xdr:col>9</xdr:col>
      <xdr:colOff>882013</xdr:colOff>
      <xdr:row>292</xdr:row>
      <xdr:rowOff>453543</xdr:rowOff>
    </xdr:to>
    <xdr:pic>
      <xdr:nvPicPr>
        <xdr:cNvPr id="790" name="Picture 789" descr="hair protection">
          <a:extLst>
            <a:ext uri="{FF2B5EF4-FFF2-40B4-BE49-F238E27FC236}">
              <a16:creationId xmlns:a16="http://schemas.microsoft.com/office/drawing/2014/main" id="{75A69496-166F-4883-A52B-332A4E49938A}"/>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25118811"/>
          <a:ext cx="432000" cy="432000"/>
        </a:xfrm>
        <a:prstGeom prst="rect">
          <a:avLst/>
        </a:prstGeom>
        <a:noFill/>
        <a:ln>
          <a:noFill/>
        </a:ln>
      </xdr:spPr>
    </xdr:pic>
    <xdr:clientData/>
  </xdr:twoCellAnchor>
  <xdr:twoCellAnchor>
    <xdr:from>
      <xdr:col>9</xdr:col>
      <xdr:colOff>450013</xdr:colOff>
      <xdr:row>293</xdr:row>
      <xdr:rowOff>21543</xdr:rowOff>
    </xdr:from>
    <xdr:to>
      <xdr:col>9</xdr:col>
      <xdr:colOff>882013</xdr:colOff>
      <xdr:row>293</xdr:row>
      <xdr:rowOff>453543</xdr:rowOff>
    </xdr:to>
    <xdr:pic>
      <xdr:nvPicPr>
        <xdr:cNvPr id="791" name="Picture 790" descr="hair protection">
          <a:extLst>
            <a:ext uri="{FF2B5EF4-FFF2-40B4-BE49-F238E27FC236}">
              <a16:creationId xmlns:a16="http://schemas.microsoft.com/office/drawing/2014/main" id="{699CA7BB-9605-4274-9739-818A654C218D}"/>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25118811"/>
          <a:ext cx="432000" cy="432000"/>
        </a:xfrm>
        <a:prstGeom prst="rect">
          <a:avLst/>
        </a:prstGeom>
        <a:noFill/>
        <a:ln>
          <a:noFill/>
        </a:ln>
      </xdr:spPr>
    </xdr:pic>
    <xdr:clientData/>
  </xdr:twoCellAnchor>
  <xdr:twoCellAnchor>
    <xdr:from>
      <xdr:col>9</xdr:col>
      <xdr:colOff>450013</xdr:colOff>
      <xdr:row>294</xdr:row>
      <xdr:rowOff>21543</xdr:rowOff>
    </xdr:from>
    <xdr:to>
      <xdr:col>9</xdr:col>
      <xdr:colOff>882013</xdr:colOff>
      <xdr:row>294</xdr:row>
      <xdr:rowOff>453543</xdr:rowOff>
    </xdr:to>
    <xdr:pic>
      <xdr:nvPicPr>
        <xdr:cNvPr id="792" name="Picture 791" descr="hair protection">
          <a:extLst>
            <a:ext uri="{FF2B5EF4-FFF2-40B4-BE49-F238E27FC236}">
              <a16:creationId xmlns:a16="http://schemas.microsoft.com/office/drawing/2014/main" id="{59E8A75E-BA4A-4464-ADBB-3AB6B14BBDCF}"/>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25118811"/>
          <a:ext cx="432000" cy="432000"/>
        </a:xfrm>
        <a:prstGeom prst="rect">
          <a:avLst/>
        </a:prstGeom>
        <a:noFill/>
        <a:ln>
          <a:noFill/>
        </a:ln>
      </xdr:spPr>
    </xdr:pic>
    <xdr:clientData/>
  </xdr:twoCellAnchor>
  <xdr:twoCellAnchor>
    <xdr:from>
      <xdr:col>9</xdr:col>
      <xdr:colOff>450013</xdr:colOff>
      <xdr:row>295</xdr:row>
      <xdr:rowOff>21543</xdr:rowOff>
    </xdr:from>
    <xdr:to>
      <xdr:col>9</xdr:col>
      <xdr:colOff>882013</xdr:colOff>
      <xdr:row>295</xdr:row>
      <xdr:rowOff>453543</xdr:rowOff>
    </xdr:to>
    <xdr:pic>
      <xdr:nvPicPr>
        <xdr:cNvPr id="793" name="Picture 792" descr="hair protection">
          <a:extLst>
            <a:ext uri="{FF2B5EF4-FFF2-40B4-BE49-F238E27FC236}">
              <a16:creationId xmlns:a16="http://schemas.microsoft.com/office/drawing/2014/main" id="{118CF75C-FBB1-455D-85CC-89AC19EDC271}"/>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25118811"/>
          <a:ext cx="432000" cy="432000"/>
        </a:xfrm>
        <a:prstGeom prst="rect">
          <a:avLst/>
        </a:prstGeom>
        <a:noFill/>
        <a:ln>
          <a:noFill/>
        </a:ln>
      </xdr:spPr>
    </xdr:pic>
    <xdr:clientData/>
  </xdr:twoCellAnchor>
  <xdr:twoCellAnchor>
    <xdr:from>
      <xdr:col>9</xdr:col>
      <xdr:colOff>450013</xdr:colOff>
      <xdr:row>296</xdr:row>
      <xdr:rowOff>21543</xdr:rowOff>
    </xdr:from>
    <xdr:to>
      <xdr:col>9</xdr:col>
      <xdr:colOff>882013</xdr:colOff>
      <xdr:row>296</xdr:row>
      <xdr:rowOff>453543</xdr:rowOff>
    </xdr:to>
    <xdr:pic>
      <xdr:nvPicPr>
        <xdr:cNvPr id="794" name="Picture 793" descr="hair protection">
          <a:extLst>
            <a:ext uri="{FF2B5EF4-FFF2-40B4-BE49-F238E27FC236}">
              <a16:creationId xmlns:a16="http://schemas.microsoft.com/office/drawing/2014/main" id="{DE6D0418-3E97-452E-AE02-B8B5CC855F85}"/>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25118811"/>
          <a:ext cx="432000" cy="432000"/>
        </a:xfrm>
        <a:prstGeom prst="rect">
          <a:avLst/>
        </a:prstGeom>
        <a:noFill/>
        <a:ln>
          <a:noFill/>
        </a:ln>
      </xdr:spPr>
    </xdr:pic>
    <xdr:clientData/>
  </xdr:twoCellAnchor>
  <xdr:twoCellAnchor>
    <xdr:from>
      <xdr:col>9</xdr:col>
      <xdr:colOff>450013</xdr:colOff>
      <xdr:row>297</xdr:row>
      <xdr:rowOff>21543</xdr:rowOff>
    </xdr:from>
    <xdr:to>
      <xdr:col>9</xdr:col>
      <xdr:colOff>882013</xdr:colOff>
      <xdr:row>297</xdr:row>
      <xdr:rowOff>453543</xdr:rowOff>
    </xdr:to>
    <xdr:pic>
      <xdr:nvPicPr>
        <xdr:cNvPr id="795" name="Picture 794" descr="hair protection">
          <a:extLst>
            <a:ext uri="{FF2B5EF4-FFF2-40B4-BE49-F238E27FC236}">
              <a16:creationId xmlns:a16="http://schemas.microsoft.com/office/drawing/2014/main" id="{9754D466-B03F-4FA2-8F46-1CC28E7BEC0C}"/>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804424" y="125118811"/>
          <a:ext cx="432000" cy="432000"/>
        </a:xfrm>
        <a:prstGeom prst="rect">
          <a:avLst/>
        </a:prstGeom>
        <a:noFill/>
        <a:ln>
          <a:noFill/>
        </a:ln>
      </xdr:spPr>
    </xdr:pic>
    <xdr:clientData/>
  </xdr:twoCellAnchor>
  <xdr:twoCellAnchor>
    <xdr:from>
      <xdr:col>9</xdr:col>
      <xdr:colOff>442232</xdr:colOff>
      <xdr:row>280</xdr:row>
      <xdr:rowOff>15874</xdr:rowOff>
    </xdr:from>
    <xdr:to>
      <xdr:col>9</xdr:col>
      <xdr:colOff>874232</xdr:colOff>
      <xdr:row>280</xdr:row>
      <xdr:rowOff>447874</xdr:rowOff>
    </xdr:to>
    <xdr:pic>
      <xdr:nvPicPr>
        <xdr:cNvPr id="796" name="Picture 795">
          <a:extLst>
            <a:ext uri="{FF2B5EF4-FFF2-40B4-BE49-F238E27FC236}">
              <a16:creationId xmlns:a16="http://schemas.microsoft.com/office/drawing/2014/main" id="{EE84848A-9A0C-47FC-8AA3-23BD73814D69}"/>
            </a:ext>
          </a:extLst>
        </xdr:cNvPr>
        <xdr:cNvPicPr>
          <a:picLocks noChangeAspect="1"/>
        </xdr:cNvPicPr>
      </xdr:nvPicPr>
      <xdr:blipFill>
        <a:blip xmlns:r="http://schemas.openxmlformats.org/officeDocument/2006/relationships" r:embed="rId19"/>
        <a:stretch>
          <a:fillRect/>
        </a:stretch>
      </xdr:blipFill>
      <xdr:spPr>
        <a:xfrm>
          <a:off x="5796643" y="120554749"/>
          <a:ext cx="432000" cy="432000"/>
        </a:xfrm>
        <a:prstGeom prst="rect">
          <a:avLst/>
        </a:prstGeom>
      </xdr:spPr>
    </xdr:pic>
    <xdr:clientData/>
  </xdr:twoCellAnchor>
  <xdr:twoCellAnchor>
    <xdr:from>
      <xdr:col>9</xdr:col>
      <xdr:colOff>442232</xdr:colOff>
      <xdr:row>281</xdr:row>
      <xdr:rowOff>15874</xdr:rowOff>
    </xdr:from>
    <xdr:to>
      <xdr:col>9</xdr:col>
      <xdr:colOff>874232</xdr:colOff>
      <xdr:row>281</xdr:row>
      <xdr:rowOff>447874</xdr:rowOff>
    </xdr:to>
    <xdr:pic>
      <xdr:nvPicPr>
        <xdr:cNvPr id="797" name="Picture 796">
          <a:extLst>
            <a:ext uri="{FF2B5EF4-FFF2-40B4-BE49-F238E27FC236}">
              <a16:creationId xmlns:a16="http://schemas.microsoft.com/office/drawing/2014/main" id="{4CFA3A26-01EC-4FF4-8A3D-23FF27B3B39C}"/>
            </a:ext>
          </a:extLst>
        </xdr:cNvPr>
        <xdr:cNvPicPr>
          <a:picLocks noChangeAspect="1"/>
        </xdr:cNvPicPr>
      </xdr:nvPicPr>
      <xdr:blipFill>
        <a:blip xmlns:r="http://schemas.openxmlformats.org/officeDocument/2006/relationships" r:embed="rId19"/>
        <a:stretch>
          <a:fillRect/>
        </a:stretch>
      </xdr:blipFill>
      <xdr:spPr>
        <a:xfrm>
          <a:off x="5796643" y="120554749"/>
          <a:ext cx="432000" cy="432000"/>
        </a:xfrm>
        <a:prstGeom prst="rect">
          <a:avLst/>
        </a:prstGeom>
      </xdr:spPr>
    </xdr:pic>
    <xdr:clientData/>
  </xdr:twoCellAnchor>
  <xdr:twoCellAnchor>
    <xdr:from>
      <xdr:col>9</xdr:col>
      <xdr:colOff>442232</xdr:colOff>
      <xdr:row>282</xdr:row>
      <xdr:rowOff>15874</xdr:rowOff>
    </xdr:from>
    <xdr:to>
      <xdr:col>9</xdr:col>
      <xdr:colOff>874232</xdr:colOff>
      <xdr:row>282</xdr:row>
      <xdr:rowOff>447874</xdr:rowOff>
    </xdr:to>
    <xdr:pic>
      <xdr:nvPicPr>
        <xdr:cNvPr id="798" name="Picture 797">
          <a:extLst>
            <a:ext uri="{FF2B5EF4-FFF2-40B4-BE49-F238E27FC236}">
              <a16:creationId xmlns:a16="http://schemas.microsoft.com/office/drawing/2014/main" id="{EE563752-7F55-4A40-81F6-21A438CA688B}"/>
            </a:ext>
          </a:extLst>
        </xdr:cNvPr>
        <xdr:cNvPicPr>
          <a:picLocks noChangeAspect="1"/>
        </xdr:cNvPicPr>
      </xdr:nvPicPr>
      <xdr:blipFill>
        <a:blip xmlns:r="http://schemas.openxmlformats.org/officeDocument/2006/relationships" r:embed="rId19"/>
        <a:stretch>
          <a:fillRect/>
        </a:stretch>
      </xdr:blipFill>
      <xdr:spPr>
        <a:xfrm>
          <a:off x="5796643" y="120554749"/>
          <a:ext cx="432000" cy="432000"/>
        </a:xfrm>
        <a:prstGeom prst="rect">
          <a:avLst/>
        </a:prstGeom>
      </xdr:spPr>
    </xdr:pic>
    <xdr:clientData/>
  </xdr:twoCellAnchor>
  <xdr:twoCellAnchor>
    <xdr:from>
      <xdr:col>9</xdr:col>
      <xdr:colOff>442232</xdr:colOff>
      <xdr:row>283</xdr:row>
      <xdr:rowOff>15874</xdr:rowOff>
    </xdr:from>
    <xdr:to>
      <xdr:col>9</xdr:col>
      <xdr:colOff>874232</xdr:colOff>
      <xdr:row>283</xdr:row>
      <xdr:rowOff>447874</xdr:rowOff>
    </xdr:to>
    <xdr:pic>
      <xdr:nvPicPr>
        <xdr:cNvPr id="799" name="Picture 798">
          <a:extLst>
            <a:ext uri="{FF2B5EF4-FFF2-40B4-BE49-F238E27FC236}">
              <a16:creationId xmlns:a16="http://schemas.microsoft.com/office/drawing/2014/main" id="{97B8E69B-CC45-4C12-9AE8-44DBBDAB894A}"/>
            </a:ext>
          </a:extLst>
        </xdr:cNvPr>
        <xdr:cNvPicPr>
          <a:picLocks noChangeAspect="1"/>
        </xdr:cNvPicPr>
      </xdr:nvPicPr>
      <xdr:blipFill>
        <a:blip xmlns:r="http://schemas.openxmlformats.org/officeDocument/2006/relationships" r:embed="rId19"/>
        <a:stretch>
          <a:fillRect/>
        </a:stretch>
      </xdr:blipFill>
      <xdr:spPr>
        <a:xfrm>
          <a:off x="5796643" y="120554749"/>
          <a:ext cx="432000" cy="432000"/>
        </a:xfrm>
        <a:prstGeom prst="rect">
          <a:avLst/>
        </a:prstGeom>
      </xdr:spPr>
    </xdr:pic>
    <xdr:clientData/>
  </xdr:twoCellAnchor>
  <xdr:twoCellAnchor>
    <xdr:from>
      <xdr:col>9</xdr:col>
      <xdr:colOff>442232</xdr:colOff>
      <xdr:row>284</xdr:row>
      <xdr:rowOff>15874</xdr:rowOff>
    </xdr:from>
    <xdr:to>
      <xdr:col>9</xdr:col>
      <xdr:colOff>874232</xdr:colOff>
      <xdr:row>284</xdr:row>
      <xdr:rowOff>447874</xdr:rowOff>
    </xdr:to>
    <xdr:pic>
      <xdr:nvPicPr>
        <xdr:cNvPr id="800" name="Picture 799">
          <a:extLst>
            <a:ext uri="{FF2B5EF4-FFF2-40B4-BE49-F238E27FC236}">
              <a16:creationId xmlns:a16="http://schemas.microsoft.com/office/drawing/2014/main" id="{D2DFA136-7A7C-44BB-8CE3-6AF41B3CE76B}"/>
            </a:ext>
          </a:extLst>
        </xdr:cNvPr>
        <xdr:cNvPicPr>
          <a:picLocks noChangeAspect="1"/>
        </xdr:cNvPicPr>
      </xdr:nvPicPr>
      <xdr:blipFill>
        <a:blip xmlns:r="http://schemas.openxmlformats.org/officeDocument/2006/relationships" r:embed="rId19"/>
        <a:stretch>
          <a:fillRect/>
        </a:stretch>
      </xdr:blipFill>
      <xdr:spPr>
        <a:xfrm>
          <a:off x="5796643" y="120554749"/>
          <a:ext cx="432000" cy="432000"/>
        </a:xfrm>
        <a:prstGeom prst="rect">
          <a:avLst/>
        </a:prstGeom>
      </xdr:spPr>
    </xdr:pic>
    <xdr:clientData/>
  </xdr:twoCellAnchor>
  <xdr:twoCellAnchor>
    <xdr:from>
      <xdr:col>9</xdr:col>
      <xdr:colOff>442232</xdr:colOff>
      <xdr:row>285</xdr:row>
      <xdr:rowOff>15874</xdr:rowOff>
    </xdr:from>
    <xdr:to>
      <xdr:col>9</xdr:col>
      <xdr:colOff>874232</xdr:colOff>
      <xdr:row>285</xdr:row>
      <xdr:rowOff>447874</xdr:rowOff>
    </xdr:to>
    <xdr:pic>
      <xdr:nvPicPr>
        <xdr:cNvPr id="801" name="Picture 800">
          <a:extLst>
            <a:ext uri="{FF2B5EF4-FFF2-40B4-BE49-F238E27FC236}">
              <a16:creationId xmlns:a16="http://schemas.microsoft.com/office/drawing/2014/main" id="{2A7624EA-EE89-4774-BCAF-2F76D7DE0116}"/>
            </a:ext>
          </a:extLst>
        </xdr:cNvPr>
        <xdr:cNvPicPr>
          <a:picLocks noChangeAspect="1"/>
        </xdr:cNvPicPr>
      </xdr:nvPicPr>
      <xdr:blipFill>
        <a:blip xmlns:r="http://schemas.openxmlformats.org/officeDocument/2006/relationships" r:embed="rId19"/>
        <a:stretch>
          <a:fillRect/>
        </a:stretch>
      </xdr:blipFill>
      <xdr:spPr>
        <a:xfrm>
          <a:off x="5796643" y="120554749"/>
          <a:ext cx="432000" cy="432000"/>
        </a:xfrm>
        <a:prstGeom prst="rect">
          <a:avLst/>
        </a:prstGeom>
      </xdr:spPr>
    </xdr:pic>
    <xdr:clientData/>
  </xdr:twoCellAnchor>
  <xdr:twoCellAnchor>
    <xdr:from>
      <xdr:col>9</xdr:col>
      <xdr:colOff>442232</xdr:colOff>
      <xdr:row>286</xdr:row>
      <xdr:rowOff>15874</xdr:rowOff>
    </xdr:from>
    <xdr:to>
      <xdr:col>9</xdr:col>
      <xdr:colOff>874232</xdr:colOff>
      <xdr:row>286</xdr:row>
      <xdr:rowOff>447874</xdr:rowOff>
    </xdr:to>
    <xdr:pic>
      <xdr:nvPicPr>
        <xdr:cNvPr id="802" name="Picture 801">
          <a:extLst>
            <a:ext uri="{FF2B5EF4-FFF2-40B4-BE49-F238E27FC236}">
              <a16:creationId xmlns:a16="http://schemas.microsoft.com/office/drawing/2014/main" id="{95B602EB-89EA-4A00-AC1E-E5677D54E03A}"/>
            </a:ext>
          </a:extLst>
        </xdr:cNvPr>
        <xdr:cNvPicPr>
          <a:picLocks noChangeAspect="1"/>
        </xdr:cNvPicPr>
      </xdr:nvPicPr>
      <xdr:blipFill>
        <a:blip xmlns:r="http://schemas.openxmlformats.org/officeDocument/2006/relationships" r:embed="rId19"/>
        <a:stretch>
          <a:fillRect/>
        </a:stretch>
      </xdr:blipFill>
      <xdr:spPr>
        <a:xfrm>
          <a:off x="5796643" y="120554749"/>
          <a:ext cx="432000" cy="432000"/>
        </a:xfrm>
        <a:prstGeom prst="rect">
          <a:avLst/>
        </a:prstGeom>
      </xdr:spPr>
    </xdr:pic>
    <xdr:clientData/>
  </xdr:twoCellAnchor>
  <xdr:twoCellAnchor>
    <xdr:from>
      <xdr:col>9</xdr:col>
      <xdr:colOff>442232</xdr:colOff>
      <xdr:row>287</xdr:row>
      <xdr:rowOff>15874</xdr:rowOff>
    </xdr:from>
    <xdr:to>
      <xdr:col>9</xdr:col>
      <xdr:colOff>874232</xdr:colOff>
      <xdr:row>287</xdr:row>
      <xdr:rowOff>447874</xdr:rowOff>
    </xdr:to>
    <xdr:pic>
      <xdr:nvPicPr>
        <xdr:cNvPr id="803" name="Picture 802">
          <a:extLst>
            <a:ext uri="{FF2B5EF4-FFF2-40B4-BE49-F238E27FC236}">
              <a16:creationId xmlns:a16="http://schemas.microsoft.com/office/drawing/2014/main" id="{938A19E0-4790-4D0F-BA15-450599FD9A99}"/>
            </a:ext>
          </a:extLst>
        </xdr:cNvPr>
        <xdr:cNvPicPr>
          <a:picLocks noChangeAspect="1"/>
        </xdr:cNvPicPr>
      </xdr:nvPicPr>
      <xdr:blipFill>
        <a:blip xmlns:r="http://schemas.openxmlformats.org/officeDocument/2006/relationships" r:embed="rId19"/>
        <a:stretch>
          <a:fillRect/>
        </a:stretch>
      </xdr:blipFill>
      <xdr:spPr>
        <a:xfrm>
          <a:off x="5796643" y="120554749"/>
          <a:ext cx="432000" cy="432000"/>
        </a:xfrm>
        <a:prstGeom prst="rect">
          <a:avLst/>
        </a:prstGeom>
      </xdr:spPr>
    </xdr:pic>
    <xdr:clientData/>
  </xdr:twoCellAnchor>
  <xdr:twoCellAnchor>
    <xdr:from>
      <xdr:col>9</xdr:col>
      <xdr:colOff>442232</xdr:colOff>
      <xdr:row>288</xdr:row>
      <xdr:rowOff>15874</xdr:rowOff>
    </xdr:from>
    <xdr:to>
      <xdr:col>9</xdr:col>
      <xdr:colOff>874232</xdr:colOff>
      <xdr:row>288</xdr:row>
      <xdr:rowOff>447874</xdr:rowOff>
    </xdr:to>
    <xdr:pic>
      <xdr:nvPicPr>
        <xdr:cNvPr id="804" name="Picture 803">
          <a:extLst>
            <a:ext uri="{FF2B5EF4-FFF2-40B4-BE49-F238E27FC236}">
              <a16:creationId xmlns:a16="http://schemas.microsoft.com/office/drawing/2014/main" id="{56398143-10C1-4E58-B5E7-D68DC1315462}"/>
            </a:ext>
          </a:extLst>
        </xdr:cNvPr>
        <xdr:cNvPicPr>
          <a:picLocks noChangeAspect="1"/>
        </xdr:cNvPicPr>
      </xdr:nvPicPr>
      <xdr:blipFill>
        <a:blip xmlns:r="http://schemas.openxmlformats.org/officeDocument/2006/relationships" r:embed="rId19"/>
        <a:stretch>
          <a:fillRect/>
        </a:stretch>
      </xdr:blipFill>
      <xdr:spPr>
        <a:xfrm>
          <a:off x="5796643" y="120554749"/>
          <a:ext cx="432000" cy="432000"/>
        </a:xfrm>
        <a:prstGeom prst="rect">
          <a:avLst/>
        </a:prstGeom>
      </xdr:spPr>
    </xdr:pic>
    <xdr:clientData/>
  </xdr:twoCellAnchor>
  <xdr:twoCellAnchor>
    <xdr:from>
      <xdr:col>9</xdr:col>
      <xdr:colOff>433003</xdr:colOff>
      <xdr:row>270</xdr:row>
      <xdr:rowOff>21270</xdr:rowOff>
    </xdr:from>
    <xdr:to>
      <xdr:col>9</xdr:col>
      <xdr:colOff>865003</xdr:colOff>
      <xdr:row>270</xdr:row>
      <xdr:rowOff>443745</xdr:rowOff>
    </xdr:to>
    <xdr:pic>
      <xdr:nvPicPr>
        <xdr:cNvPr id="805" name="Picture 804">
          <a:extLst>
            <a:ext uri="{FF2B5EF4-FFF2-40B4-BE49-F238E27FC236}">
              <a16:creationId xmlns:a16="http://schemas.microsoft.com/office/drawing/2014/main" id="{12EAA688-B9B0-4493-84D3-74ACC5F20E5B}"/>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16001752"/>
          <a:ext cx="432000" cy="422475"/>
        </a:xfrm>
        <a:prstGeom prst="rect">
          <a:avLst/>
        </a:prstGeom>
        <a:noFill/>
      </xdr:spPr>
    </xdr:pic>
    <xdr:clientData/>
  </xdr:twoCellAnchor>
  <xdr:twoCellAnchor>
    <xdr:from>
      <xdr:col>9</xdr:col>
      <xdr:colOff>433003</xdr:colOff>
      <xdr:row>271</xdr:row>
      <xdr:rowOff>21270</xdr:rowOff>
    </xdr:from>
    <xdr:to>
      <xdr:col>9</xdr:col>
      <xdr:colOff>865003</xdr:colOff>
      <xdr:row>271</xdr:row>
      <xdr:rowOff>443745</xdr:rowOff>
    </xdr:to>
    <xdr:pic>
      <xdr:nvPicPr>
        <xdr:cNvPr id="806" name="Picture 805">
          <a:extLst>
            <a:ext uri="{FF2B5EF4-FFF2-40B4-BE49-F238E27FC236}">
              <a16:creationId xmlns:a16="http://schemas.microsoft.com/office/drawing/2014/main" id="{16EF1DEF-9BD6-4198-B0F3-18747365BD8C}"/>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16001752"/>
          <a:ext cx="432000" cy="422475"/>
        </a:xfrm>
        <a:prstGeom prst="rect">
          <a:avLst/>
        </a:prstGeom>
        <a:noFill/>
      </xdr:spPr>
    </xdr:pic>
    <xdr:clientData/>
  </xdr:twoCellAnchor>
  <xdr:twoCellAnchor>
    <xdr:from>
      <xdr:col>9</xdr:col>
      <xdr:colOff>433003</xdr:colOff>
      <xdr:row>272</xdr:row>
      <xdr:rowOff>21270</xdr:rowOff>
    </xdr:from>
    <xdr:to>
      <xdr:col>9</xdr:col>
      <xdr:colOff>865003</xdr:colOff>
      <xdr:row>272</xdr:row>
      <xdr:rowOff>443745</xdr:rowOff>
    </xdr:to>
    <xdr:pic>
      <xdr:nvPicPr>
        <xdr:cNvPr id="807" name="Picture 806">
          <a:extLst>
            <a:ext uri="{FF2B5EF4-FFF2-40B4-BE49-F238E27FC236}">
              <a16:creationId xmlns:a16="http://schemas.microsoft.com/office/drawing/2014/main" id="{5CBDB444-C942-4EB3-B9A9-246506D33B0A}"/>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16001752"/>
          <a:ext cx="432000" cy="422475"/>
        </a:xfrm>
        <a:prstGeom prst="rect">
          <a:avLst/>
        </a:prstGeom>
        <a:noFill/>
      </xdr:spPr>
    </xdr:pic>
    <xdr:clientData/>
  </xdr:twoCellAnchor>
  <xdr:twoCellAnchor>
    <xdr:from>
      <xdr:col>9</xdr:col>
      <xdr:colOff>433003</xdr:colOff>
      <xdr:row>273</xdr:row>
      <xdr:rowOff>21270</xdr:rowOff>
    </xdr:from>
    <xdr:to>
      <xdr:col>9</xdr:col>
      <xdr:colOff>865003</xdr:colOff>
      <xdr:row>273</xdr:row>
      <xdr:rowOff>443745</xdr:rowOff>
    </xdr:to>
    <xdr:pic>
      <xdr:nvPicPr>
        <xdr:cNvPr id="808" name="Picture 807">
          <a:extLst>
            <a:ext uri="{FF2B5EF4-FFF2-40B4-BE49-F238E27FC236}">
              <a16:creationId xmlns:a16="http://schemas.microsoft.com/office/drawing/2014/main" id="{7D4A33DB-2FC0-4D76-A170-3F3DD30109F8}"/>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16001752"/>
          <a:ext cx="432000" cy="422475"/>
        </a:xfrm>
        <a:prstGeom prst="rect">
          <a:avLst/>
        </a:prstGeom>
        <a:noFill/>
      </xdr:spPr>
    </xdr:pic>
    <xdr:clientData/>
  </xdr:twoCellAnchor>
  <xdr:twoCellAnchor>
    <xdr:from>
      <xdr:col>9</xdr:col>
      <xdr:colOff>433003</xdr:colOff>
      <xdr:row>274</xdr:row>
      <xdr:rowOff>21270</xdr:rowOff>
    </xdr:from>
    <xdr:to>
      <xdr:col>9</xdr:col>
      <xdr:colOff>865003</xdr:colOff>
      <xdr:row>274</xdr:row>
      <xdr:rowOff>443745</xdr:rowOff>
    </xdr:to>
    <xdr:pic>
      <xdr:nvPicPr>
        <xdr:cNvPr id="809" name="Picture 808">
          <a:extLst>
            <a:ext uri="{FF2B5EF4-FFF2-40B4-BE49-F238E27FC236}">
              <a16:creationId xmlns:a16="http://schemas.microsoft.com/office/drawing/2014/main" id="{AB5BBDD3-6C1E-42B9-9077-ACFA9E12BCC9}"/>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16001752"/>
          <a:ext cx="432000" cy="422475"/>
        </a:xfrm>
        <a:prstGeom prst="rect">
          <a:avLst/>
        </a:prstGeom>
        <a:noFill/>
      </xdr:spPr>
    </xdr:pic>
    <xdr:clientData/>
  </xdr:twoCellAnchor>
  <xdr:twoCellAnchor>
    <xdr:from>
      <xdr:col>9</xdr:col>
      <xdr:colOff>433003</xdr:colOff>
      <xdr:row>275</xdr:row>
      <xdr:rowOff>21270</xdr:rowOff>
    </xdr:from>
    <xdr:to>
      <xdr:col>9</xdr:col>
      <xdr:colOff>865003</xdr:colOff>
      <xdr:row>275</xdr:row>
      <xdr:rowOff>443745</xdr:rowOff>
    </xdr:to>
    <xdr:pic>
      <xdr:nvPicPr>
        <xdr:cNvPr id="810" name="Picture 809">
          <a:extLst>
            <a:ext uri="{FF2B5EF4-FFF2-40B4-BE49-F238E27FC236}">
              <a16:creationId xmlns:a16="http://schemas.microsoft.com/office/drawing/2014/main" id="{F5EAC389-862D-4540-A9E7-441607C22CA6}"/>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16001752"/>
          <a:ext cx="432000" cy="422475"/>
        </a:xfrm>
        <a:prstGeom prst="rect">
          <a:avLst/>
        </a:prstGeom>
        <a:noFill/>
      </xdr:spPr>
    </xdr:pic>
    <xdr:clientData/>
  </xdr:twoCellAnchor>
  <xdr:twoCellAnchor>
    <xdr:from>
      <xdr:col>9</xdr:col>
      <xdr:colOff>433003</xdr:colOff>
      <xdr:row>276</xdr:row>
      <xdr:rowOff>21270</xdr:rowOff>
    </xdr:from>
    <xdr:to>
      <xdr:col>9</xdr:col>
      <xdr:colOff>865003</xdr:colOff>
      <xdr:row>276</xdr:row>
      <xdr:rowOff>443745</xdr:rowOff>
    </xdr:to>
    <xdr:pic>
      <xdr:nvPicPr>
        <xdr:cNvPr id="811" name="Picture 810">
          <a:extLst>
            <a:ext uri="{FF2B5EF4-FFF2-40B4-BE49-F238E27FC236}">
              <a16:creationId xmlns:a16="http://schemas.microsoft.com/office/drawing/2014/main" id="{CE86862E-FA77-4BA4-BFA4-47B8F6F60BA3}"/>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16001752"/>
          <a:ext cx="432000" cy="422475"/>
        </a:xfrm>
        <a:prstGeom prst="rect">
          <a:avLst/>
        </a:prstGeom>
        <a:noFill/>
      </xdr:spPr>
    </xdr:pic>
    <xdr:clientData/>
  </xdr:twoCellAnchor>
  <xdr:twoCellAnchor>
    <xdr:from>
      <xdr:col>9</xdr:col>
      <xdr:colOff>433003</xdr:colOff>
      <xdr:row>277</xdr:row>
      <xdr:rowOff>21270</xdr:rowOff>
    </xdr:from>
    <xdr:to>
      <xdr:col>9</xdr:col>
      <xdr:colOff>865003</xdr:colOff>
      <xdr:row>277</xdr:row>
      <xdr:rowOff>443745</xdr:rowOff>
    </xdr:to>
    <xdr:pic>
      <xdr:nvPicPr>
        <xdr:cNvPr id="812" name="Picture 811">
          <a:extLst>
            <a:ext uri="{FF2B5EF4-FFF2-40B4-BE49-F238E27FC236}">
              <a16:creationId xmlns:a16="http://schemas.microsoft.com/office/drawing/2014/main" id="{BF051413-0E05-4E20-B244-53BCDF127C2B}"/>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16001752"/>
          <a:ext cx="432000" cy="422475"/>
        </a:xfrm>
        <a:prstGeom prst="rect">
          <a:avLst/>
        </a:prstGeom>
        <a:noFill/>
      </xdr:spPr>
    </xdr:pic>
    <xdr:clientData/>
  </xdr:twoCellAnchor>
  <xdr:twoCellAnchor>
    <xdr:from>
      <xdr:col>9</xdr:col>
      <xdr:colOff>433003</xdr:colOff>
      <xdr:row>278</xdr:row>
      <xdr:rowOff>21270</xdr:rowOff>
    </xdr:from>
    <xdr:to>
      <xdr:col>9</xdr:col>
      <xdr:colOff>865003</xdr:colOff>
      <xdr:row>278</xdr:row>
      <xdr:rowOff>443745</xdr:rowOff>
    </xdr:to>
    <xdr:pic>
      <xdr:nvPicPr>
        <xdr:cNvPr id="813" name="Picture 812">
          <a:extLst>
            <a:ext uri="{FF2B5EF4-FFF2-40B4-BE49-F238E27FC236}">
              <a16:creationId xmlns:a16="http://schemas.microsoft.com/office/drawing/2014/main" id="{15305F69-F8D3-4D8B-B701-90125F8248D7}"/>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5787414" y="116001752"/>
          <a:ext cx="432000" cy="422475"/>
        </a:xfrm>
        <a:prstGeom prst="rect">
          <a:avLst/>
        </a:prstGeom>
        <a:noFill/>
      </xdr:spPr>
    </xdr:pic>
    <xdr:clientData/>
  </xdr:twoCellAnchor>
  <xdr:twoCellAnchor>
    <xdr:from>
      <xdr:col>12</xdr:col>
      <xdr:colOff>476094</xdr:colOff>
      <xdr:row>319</xdr:row>
      <xdr:rowOff>18142</xdr:rowOff>
    </xdr:from>
    <xdr:to>
      <xdr:col>12</xdr:col>
      <xdr:colOff>908094</xdr:colOff>
      <xdr:row>319</xdr:row>
      <xdr:rowOff>440617</xdr:rowOff>
    </xdr:to>
    <xdr:pic>
      <xdr:nvPicPr>
        <xdr:cNvPr id="822" name="Picture 821" descr="safety vests">
          <a:extLst>
            <a:ext uri="{FF2B5EF4-FFF2-40B4-BE49-F238E27FC236}">
              <a16:creationId xmlns:a16="http://schemas.microsoft.com/office/drawing/2014/main" id="{5398C9ED-B6E0-4E08-8118-8547C0F52600}"/>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830505" y="141525624"/>
          <a:ext cx="432000" cy="422475"/>
        </a:xfrm>
        <a:prstGeom prst="rect">
          <a:avLst/>
        </a:prstGeom>
        <a:noFill/>
        <a:ln>
          <a:noFill/>
        </a:ln>
      </xdr:spPr>
    </xdr:pic>
    <xdr:clientData/>
  </xdr:twoCellAnchor>
  <xdr:twoCellAnchor>
    <xdr:from>
      <xdr:col>12</xdr:col>
      <xdr:colOff>476250</xdr:colOff>
      <xdr:row>318</xdr:row>
      <xdr:rowOff>17010</xdr:rowOff>
    </xdr:from>
    <xdr:to>
      <xdr:col>12</xdr:col>
      <xdr:colOff>908250</xdr:colOff>
      <xdr:row>318</xdr:row>
      <xdr:rowOff>449010</xdr:rowOff>
    </xdr:to>
    <xdr:pic>
      <xdr:nvPicPr>
        <xdr:cNvPr id="823" name="Picture 822">
          <a:extLst>
            <a:ext uri="{FF2B5EF4-FFF2-40B4-BE49-F238E27FC236}">
              <a16:creationId xmlns:a16="http://schemas.microsoft.com/office/drawing/2014/main" id="{B3D4AB16-03A2-48F2-AC76-115900E2F388}"/>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830661" y="141068653"/>
          <a:ext cx="432000" cy="432000"/>
        </a:xfrm>
        <a:prstGeom prst="rect">
          <a:avLst/>
        </a:prstGeom>
      </xdr:spPr>
    </xdr:pic>
    <xdr:clientData/>
  </xdr:twoCellAnchor>
  <xdr:twoCellAnchor>
    <xdr:from>
      <xdr:col>12</xdr:col>
      <xdr:colOff>436563</xdr:colOff>
      <xdr:row>320</xdr:row>
      <xdr:rowOff>17008</xdr:rowOff>
    </xdr:from>
    <xdr:to>
      <xdr:col>12</xdr:col>
      <xdr:colOff>868563</xdr:colOff>
      <xdr:row>320</xdr:row>
      <xdr:rowOff>449008</xdr:rowOff>
    </xdr:to>
    <xdr:pic>
      <xdr:nvPicPr>
        <xdr:cNvPr id="824" name="Picture 823">
          <a:extLst>
            <a:ext uri="{FF2B5EF4-FFF2-40B4-BE49-F238E27FC236}">
              <a16:creationId xmlns:a16="http://schemas.microsoft.com/office/drawing/2014/main" id="{F126F185-0828-4281-B3C4-EC8B2360F95C}"/>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flipH="1">
          <a:off x="5790974" y="141980329"/>
          <a:ext cx="432000" cy="432000"/>
        </a:xfrm>
        <a:prstGeom prst="rect">
          <a:avLst/>
        </a:prstGeom>
      </xdr:spPr>
    </xdr:pic>
    <xdr:clientData/>
  </xdr:twoCellAnchor>
  <xdr:twoCellAnchor>
    <xdr:from>
      <xdr:col>12</xdr:col>
      <xdr:colOff>443370</xdr:colOff>
      <xdr:row>321</xdr:row>
      <xdr:rowOff>17007</xdr:rowOff>
    </xdr:from>
    <xdr:to>
      <xdr:col>12</xdr:col>
      <xdr:colOff>875370</xdr:colOff>
      <xdr:row>321</xdr:row>
      <xdr:rowOff>449007</xdr:rowOff>
    </xdr:to>
    <xdr:pic>
      <xdr:nvPicPr>
        <xdr:cNvPr id="825" name="Picture 824">
          <a:extLst>
            <a:ext uri="{FF2B5EF4-FFF2-40B4-BE49-F238E27FC236}">
              <a16:creationId xmlns:a16="http://schemas.microsoft.com/office/drawing/2014/main" id="{B9E71D92-7553-471B-825B-7CB3359A43C1}"/>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5797781" y="142436168"/>
          <a:ext cx="432000" cy="432000"/>
        </a:xfrm>
        <a:prstGeom prst="rect">
          <a:avLst/>
        </a:prstGeom>
        <a:noFill/>
      </xdr:spPr>
    </xdr:pic>
    <xdr:clientData/>
  </xdr:twoCellAnchor>
  <xdr:twoCellAnchor>
    <xdr:from>
      <xdr:col>12</xdr:col>
      <xdr:colOff>457020</xdr:colOff>
      <xdr:row>322</xdr:row>
      <xdr:rowOff>30345</xdr:rowOff>
    </xdr:from>
    <xdr:to>
      <xdr:col>12</xdr:col>
      <xdr:colOff>889020</xdr:colOff>
      <xdr:row>322</xdr:row>
      <xdr:rowOff>452820</xdr:rowOff>
    </xdr:to>
    <xdr:pic>
      <xdr:nvPicPr>
        <xdr:cNvPr id="826" name="Picture 825">
          <a:extLst>
            <a:ext uri="{FF2B5EF4-FFF2-40B4-BE49-F238E27FC236}">
              <a16:creationId xmlns:a16="http://schemas.microsoft.com/office/drawing/2014/main" id="{F83E80B3-ACDC-4B3B-8A1E-87663516E698}"/>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811431" y="142905345"/>
          <a:ext cx="432000" cy="422475"/>
        </a:xfrm>
        <a:prstGeom prst="rect">
          <a:avLst/>
        </a:prstGeom>
        <a:ln>
          <a:solidFill>
            <a:schemeClr val="tx1"/>
          </a:solidFill>
        </a:ln>
      </xdr:spPr>
    </xdr:pic>
    <xdr:clientData/>
  </xdr:twoCellAnchor>
  <xdr:twoCellAnchor>
    <xdr:from>
      <xdr:col>9</xdr:col>
      <xdr:colOff>481990</xdr:colOff>
      <xdr:row>319</xdr:row>
      <xdr:rowOff>20408</xdr:rowOff>
    </xdr:from>
    <xdr:to>
      <xdr:col>9</xdr:col>
      <xdr:colOff>913990</xdr:colOff>
      <xdr:row>319</xdr:row>
      <xdr:rowOff>442883</xdr:rowOff>
    </xdr:to>
    <xdr:pic>
      <xdr:nvPicPr>
        <xdr:cNvPr id="827" name="Picture 826">
          <a:extLst>
            <a:ext uri="{FF2B5EF4-FFF2-40B4-BE49-F238E27FC236}">
              <a16:creationId xmlns:a16="http://schemas.microsoft.com/office/drawing/2014/main" id="{82F41B32-6CC0-4F3B-B0ED-5E11D28877A6}"/>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38337015"/>
          <a:ext cx="432000" cy="422475"/>
        </a:xfrm>
        <a:prstGeom prst="rect">
          <a:avLst/>
        </a:prstGeom>
        <a:noFill/>
        <a:ln>
          <a:noFill/>
        </a:ln>
      </xdr:spPr>
    </xdr:pic>
    <xdr:clientData/>
  </xdr:twoCellAnchor>
  <xdr:twoCellAnchor>
    <xdr:from>
      <xdr:col>9</xdr:col>
      <xdr:colOff>481990</xdr:colOff>
      <xdr:row>320</xdr:row>
      <xdr:rowOff>20408</xdr:rowOff>
    </xdr:from>
    <xdr:to>
      <xdr:col>9</xdr:col>
      <xdr:colOff>913990</xdr:colOff>
      <xdr:row>320</xdr:row>
      <xdr:rowOff>442883</xdr:rowOff>
    </xdr:to>
    <xdr:pic>
      <xdr:nvPicPr>
        <xdr:cNvPr id="828" name="Picture 827">
          <a:extLst>
            <a:ext uri="{FF2B5EF4-FFF2-40B4-BE49-F238E27FC236}">
              <a16:creationId xmlns:a16="http://schemas.microsoft.com/office/drawing/2014/main" id="{66C857D8-CC3E-4795-8CC3-9302F7174CE5}"/>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38337015"/>
          <a:ext cx="432000" cy="422475"/>
        </a:xfrm>
        <a:prstGeom prst="rect">
          <a:avLst/>
        </a:prstGeom>
        <a:noFill/>
        <a:ln>
          <a:noFill/>
        </a:ln>
      </xdr:spPr>
    </xdr:pic>
    <xdr:clientData/>
  </xdr:twoCellAnchor>
  <xdr:twoCellAnchor>
    <xdr:from>
      <xdr:col>9</xdr:col>
      <xdr:colOff>481990</xdr:colOff>
      <xdr:row>321</xdr:row>
      <xdr:rowOff>20408</xdr:rowOff>
    </xdr:from>
    <xdr:to>
      <xdr:col>9</xdr:col>
      <xdr:colOff>913990</xdr:colOff>
      <xdr:row>321</xdr:row>
      <xdr:rowOff>442883</xdr:rowOff>
    </xdr:to>
    <xdr:pic>
      <xdr:nvPicPr>
        <xdr:cNvPr id="829" name="Picture 828">
          <a:extLst>
            <a:ext uri="{FF2B5EF4-FFF2-40B4-BE49-F238E27FC236}">
              <a16:creationId xmlns:a16="http://schemas.microsoft.com/office/drawing/2014/main" id="{78E0CBAD-7834-49EE-9067-67A7FB48C62B}"/>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38337015"/>
          <a:ext cx="432000" cy="422475"/>
        </a:xfrm>
        <a:prstGeom prst="rect">
          <a:avLst/>
        </a:prstGeom>
        <a:noFill/>
        <a:ln>
          <a:noFill/>
        </a:ln>
      </xdr:spPr>
    </xdr:pic>
    <xdr:clientData/>
  </xdr:twoCellAnchor>
  <xdr:twoCellAnchor>
    <xdr:from>
      <xdr:col>9</xdr:col>
      <xdr:colOff>481990</xdr:colOff>
      <xdr:row>322</xdr:row>
      <xdr:rowOff>20408</xdr:rowOff>
    </xdr:from>
    <xdr:to>
      <xdr:col>9</xdr:col>
      <xdr:colOff>913990</xdr:colOff>
      <xdr:row>322</xdr:row>
      <xdr:rowOff>442883</xdr:rowOff>
    </xdr:to>
    <xdr:pic>
      <xdr:nvPicPr>
        <xdr:cNvPr id="830" name="Picture 829">
          <a:extLst>
            <a:ext uri="{FF2B5EF4-FFF2-40B4-BE49-F238E27FC236}">
              <a16:creationId xmlns:a16="http://schemas.microsoft.com/office/drawing/2014/main" id="{08DC8EB1-4666-4122-97A2-ED9DDD3D8BCE}"/>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5836401" y="138337015"/>
          <a:ext cx="432000" cy="422475"/>
        </a:xfrm>
        <a:prstGeom prst="rect">
          <a:avLst/>
        </a:prstGeom>
        <a:noFill/>
        <a:ln>
          <a:noFill/>
        </a:ln>
      </xdr:spPr>
    </xdr:pic>
    <xdr:clientData/>
  </xdr:twoCellAnchor>
  <xdr:twoCellAnchor>
    <xdr:from>
      <xdr:col>9</xdr:col>
      <xdr:colOff>476250</xdr:colOff>
      <xdr:row>323</xdr:row>
      <xdr:rowOff>17010</xdr:rowOff>
    </xdr:from>
    <xdr:to>
      <xdr:col>9</xdr:col>
      <xdr:colOff>908250</xdr:colOff>
      <xdr:row>323</xdr:row>
      <xdr:rowOff>449010</xdr:rowOff>
    </xdr:to>
    <xdr:pic>
      <xdr:nvPicPr>
        <xdr:cNvPr id="832" name="Picture 831">
          <a:extLst>
            <a:ext uri="{FF2B5EF4-FFF2-40B4-BE49-F238E27FC236}">
              <a16:creationId xmlns:a16="http://schemas.microsoft.com/office/drawing/2014/main" id="{07FD2DDD-5AE8-4559-A10D-F4E832AB2999}"/>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830661" y="141068653"/>
          <a:ext cx="432000" cy="432000"/>
        </a:xfrm>
        <a:prstGeom prst="rect">
          <a:avLst/>
        </a:prstGeom>
      </xdr:spPr>
    </xdr:pic>
    <xdr:clientData/>
  </xdr:twoCellAnchor>
  <xdr:twoCellAnchor>
    <xdr:from>
      <xdr:col>12</xdr:col>
      <xdr:colOff>476094</xdr:colOff>
      <xdr:row>323</xdr:row>
      <xdr:rowOff>18142</xdr:rowOff>
    </xdr:from>
    <xdr:to>
      <xdr:col>12</xdr:col>
      <xdr:colOff>908094</xdr:colOff>
      <xdr:row>323</xdr:row>
      <xdr:rowOff>440617</xdr:rowOff>
    </xdr:to>
    <xdr:pic>
      <xdr:nvPicPr>
        <xdr:cNvPr id="833" name="Picture 832" descr="safety vests">
          <a:extLst>
            <a:ext uri="{FF2B5EF4-FFF2-40B4-BE49-F238E27FC236}">
              <a16:creationId xmlns:a16="http://schemas.microsoft.com/office/drawing/2014/main" id="{B2EB592C-6A66-45CE-9BB2-388AE34FA10B}"/>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830505" y="141525624"/>
          <a:ext cx="432000" cy="422475"/>
        </a:xfrm>
        <a:prstGeom prst="rect">
          <a:avLst/>
        </a:prstGeom>
        <a:noFill/>
        <a:ln>
          <a:noFill/>
        </a:ln>
      </xdr:spPr>
    </xdr:pic>
    <xdr:clientData/>
  </xdr:twoCellAnchor>
  <xdr:twoCellAnchor>
    <xdr:from>
      <xdr:col>12</xdr:col>
      <xdr:colOff>436563</xdr:colOff>
      <xdr:row>324</xdr:row>
      <xdr:rowOff>17008</xdr:rowOff>
    </xdr:from>
    <xdr:to>
      <xdr:col>12</xdr:col>
      <xdr:colOff>868563</xdr:colOff>
      <xdr:row>324</xdr:row>
      <xdr:rowOff>449008</xdr:rowOff>
    </xdr:to>
    <xdr:pic>
      <xdr:nvPicPr>
        <xdr:cNvPr id="834" name="Picture 833">
          <a:extLst>
            <a:ext uri="{FF2B5EF4-FFF2-40B4-BE49-F238E27FC236}">
              <a16:creationId xmlns:a16="http://schemas.microsoft.com/office/drawing/2014/main" id="{F0137CFF-CFC1-4B43-B79B-3336752A28EB}"/>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flipH="1">
          <a:off x="5790974" y="142892008"/>
          <a:ext cx="432000" cy="432000"/>
        </a:xfrm>
        <a:prstGeom prst="rect">
          <a:avLst/>
        </a:prstGeom>
      </xdr:spPr>
    </xdr:pic>
    <xdr:clientData/>
  </xdr:twoCellAnchor>
  <xdr:twoCellAnchor>
    <xdr:from>
      <xdr:col>12</xdr:col>
      <xdr:colOff>443370</xdr:colOff>
      <xdr:row>325</xdr:row>
      <xdr:rowOff>17007</xdr:rowOff>
    </xdr:from>
    <xdr:to>
      <xdr:col>12</xdr:col>
      <xdr:colOff>875370</xdr:colOff>
      <xdr:row>325</xdr:row>
      <xdr:rowOff>449007</xdr:rowOff>
    </xdr:to>
    <xdr:pic>
      <xdr:nvPicPr>
        <xdr:cNvPr id="835" name="Picture 834">
          <a:extLst>
            <a:ext uri="{FF2B5EF4-FFF2-40B4-BE49-F238E27FC236}">
              <a16:creationId xmlns:a16="http://schemas.microsoft.com/office/drawing/2014/main" id="{82A1C971-BF1C-46E9-B856-FA59EF96749F}"/>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5797781" y="143347846"/>
          <a:ext cx="432000" cy="432000"/>
        </a:xfrm>
        <a:prstGeom prst="rect">
          <a:avLst/>
        </a:prstGeom>
        <a:noFill/>
      </xdr:spPr>
    </xdr:pic>
    <xdr:clientData/>
  </xdr:twoCellAnchor>
  <xdr:twoCellAnchor>
    <xdr:from>
      <xdr:col>12</xdr:col>
      <xdr:colOff>457020</xdr:colOff>
      <xdr:row>326</xdr:row>
      <xdr:rowOff>30345</xdr:rowOff>
    </xdr:from>
    <xdr:to>
      <xdr:col>12</xdr:col>
      <xdr:colOff>889020</xdr:colOff>
      <xdr:row>326</xdr:row>
      <xdr:rowOff>452820</xdr:rowOff>
    </xdr:to>
    <xdr:pic>
      <xdr:nvPicPr>
        <xdr:cNvPr id="836" name="Picture 835">
          <a:extLst>
            <a:ext uri="{FF2B5EF4-FFF2-40B4-BE49-F238E27FC236}">
              <a16:creationId xmlns:a16="http://schemas.microsoft.com/office/drawing/2014/main" id="{3C98946F-6BD8-4B71-9DE3-C7F0E323477C}"/>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811431" y="143817024"/>
          <a:ext cx="432000" cy="422475"/>
        </a:xfrm>
        <a:prstGeom prst="rect">
          <a:avLst/>
        </a:prstGeom>
        <a:ln>
          <a:solidFill>
            <a:schemeClr val="tx1"/>
          </a:solidFill>
        </a:ln>
      </xdr:spPr>
    </xdr:pic>
    <xdr:clientData/>
  </xdr:twoCellAnchor>
  <xdr:twoCellAnchor>
    <xdr:from>
      <xdr:col>12</xdr:col>
      <xdr:colOff>436563</xdr:colOff>
      <xdr:row>327</xdr:row>
      <xdr:rowOff>17008</xdr:rowOff>
    </xdr:from>
    <xdr:to>
      <xdr:col>12</xdr:col>
      <xdr:colOff>868563</xdr:colOff>
      <xdr:row>327</xdr:row>
      <xdr:rowOff>449008</xdr:rowOff>
    </xdr:to>
    <xdr:pic>
      <xdr:nvPicPr>
        <xdr:cNvPr id="837" name="Picture 836">
          <a:extLst>
            <a:ext uri="{FF2B5EF4-FFF2-40B4-BE49-F238E27FC236}">
              <a16:creationId xmlns:a16="http://schemas.microsoft.com/office/drawing/2014/main" id="{D66584D9-8C4D-49B3-A6DE-270D23E1B2F5}"/>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flipH="1">
          <a:off x="5790974" y="144259526"/>
          <a:ext cx="432000" cy="432000"/>
        </a:xfrm>
        <a:prstGeom prst="rect">
          <a:avLst/>
        </a:prstGeom>
      </xdr:spPr>
    </xdr:pic>
    <xdr:clientData/>
  </xdr:twoCellAnchor>
  <xdr:twoCellAnchor>
    <xdr:from>
      <xdr:col>12</xdr:col>
      <xdr:colOff>443370</xdr:colOff>
      <xdr:row>328</xdr:row>
      <xdr:rowOff>17007</xdr:rowOff>
    </xdr:from>
    <xdr:to>
      <xdr:col>12</xdr:col>
      <xdr:colOff>875370</xdr:colOff>
      <xdr:row>328</xdr:row>
      <xdr:rowOff>449007</xdr:rowOff>
    </xdr:to>
    <xdr:pic>
      <xdr:nvPicPr>
        <xdr:cNvPr id="838" name="Picture 837">
          <a:extLst>
            <a:ext uri="{FF2B5EF4-FFF2-40B4-BE49-F238E27FC236}">
              <a16:creationId xmlns:a16="http://schemas.microsoft.com/office/drawing/2014/main" id="{DDE03E0D-65E4-49A4-85E0-ECA72DFDAE58}"/>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5797781" y="144715364"/>
          <a:ext cx="432000" cy="432000"/>
        </a:xfrm>
        <a:prstGeom prst="rect">
          <a:avLst/>
        </a:prstGeom>
        <a:noFill/>
      </xdr:spPr>
    </xdr:pic>
    <xdr:clientData/>
  </xdr:twoCellAnchor>
  <xdr:twoCellAnchor>
    <xdr:from>
      <xdr:col>12</xdr:col>
      <xdr:colOff>457020</xdr:colOff>
      <xdr:row>329</xdr:row>
      <xdr:rowOff>30345</xdr:rowOff>
    </xdr:from>
    <xdr:to>
      <xdr:col>12</xdr:col>
      <xdr:colOff>889020</xdr:colOff>
      <xdr:row>329</xdr:row>
      <xdr:rowOff>452820</xdr:rowOff>
    </xdr:to>
    <xdr:pic>
      <xdr:nvPicPr>
        <xdr:cNvPr id="839" name="Picture 838">
          <a:extLst>
            <a:ext uri="{FF2B5EF4-FFF2-40B4-BE49-F238E27FC236}">
              <a16:creationId xmlns:a16="http://schemas.microsoft.com/office/drawing/2014/main" id="{A34C4703-3567-441B-A7E3-5DF68DACBC12}"/>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811431" y="145184541"/>
          <a:ext cx="432000" cy="422475"/>
        </a:xfrm>
        <a:prstGeom prst="rect">
          <a:avLst/>
        </a:prstGeom>
        <a:ln>
          <a:solidFill>
            <a:schemeClr val="tx1"/>
          </a:solidFill>
        </a:ln>
      </xdr:spPr>
    </xdr:pic>
    <xdr:clientData/>
  </xdr:twoCellAnchor>
  <xdr:twoCellAnchor>
    <xdr:from>
      <xdr:col>9</xdr:col>
      <xdr:colOff>436563</xdr:colOff>
      <xdr:row>330</xdr:row>
      <xdr:rowOff>17008</xdr:rowOff>
    </xdr:from>
    <xdr:to>
      <xdr:col>9</xdr:col>
      <xdr:colOff>868563</xdr:colOff>
      <xdr:row>330</xdr:row>
      <xdr:rowOff>449008</xdr:rowOff>
    </xdr:to>
    <xdr:pic>
      <xdr:nvPicPr>
        <xdr:cNvPr id="840" name="Picture 839">
          <a:extLst>
            <a:ext uri="{FF2B5EF4-FFF2-40B4-BE49-F238E27FC236}">
              <a16:creationId xmlns:a16="http://schemas.microsoft.com/office/drawing/2014/main" id="{BEAF840E-E8E8-43A6-A572-464944E05CDF}"/>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flipH="1">
          <a:off x="5790974" y="144259526"/>
          <a:ext cx="432000" cy="432000"/>
        </a:xfrm>
        <a:prstGeom prst="rect">
          <a:avLst/>
        </a:prstGeom>
      </xdr:spPr>
    </xdr:pic>
    <xdr:clientData/>
  </xdr:twoCellAnchor>
  <xdr:twoCellAnchor>
    <xdr:from>
      <xdr:col>12</xdr:col>
      <xdr:colOff>443370</xdr:colOff>
      <xdr:row>330</xdr:row>
      <xdr:rowOff>17007</xdr:rowOff>
    </xdr:from>
    <xdr:to>
      <xdr:col>12</xdr:col>
      <xdr:colOff>875370</xdr:colOff>
      <xdr:row>330</xdr:row>
      <xdr:rowOff>449007</xdr:rowOff>
    </xdr:to>
    <xdr:pic>
      <xdr:nvPicPr>
        <xdr:cNvPr id="841" name="Picture 840">
          <a:extLst>
            <a:ext uri="{FF2B5EF4-FFF2-40B4-BE49-F238E27FC236}">
              <a16:creationId xmlns:a16="http://schemas.microsoft.com/office/drawing/2014/main" id="{67A9F51A-BD2B-4251-B901-6B3585437089}"/>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5797781" y="144715364"/>
          <a:ext cx="432000" cy="432000"/>
        </a:xfrm>
        <a:prstGeom prst="rect">
          <a:avLst/>
        </a:prstGeom>
        <a:noFill/>
      </xdr:spPr>
    </xdr:pic>
    <xdr:clientData/>
  </xdr:twoCellAnchor>
  <xdr:twoCellAnchor>
    <xdr:from>
      <xdr:col>12</xdr:col>
      <xdr:colOff>457020</xdr:colOff>
      <xdr:row>331</xdr:row>
      <xdr:rowOff>30345</xdr:rowOff>
    </xdr:from>
    <xdr:to>
      <xdr:col>12</xdr:col>
      <xdr:colOff>889020</xdr:colOff>
      <xdr:row>331</xdr:row>
      <xdr:rowOff>452820</xdr:rowOff>
    </xdr:to>
    <xdr:pic>
      <xdr:nvPicPr>
        <xdr:cNvPr id="842" name="Picture 841">
          <a:extLst>
            <a:ext uri="{FF2B5EF4-FFF2-40B4-BE49-F238E27FC236}">
              <a16:creationId xmlns:a16="http://schemas.microsoft.com/office/drawing/2014/main" id="{EEF18F38-D176-4B35-8453-C3145AAEEE13}"/>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811431" y="145184541"/>
          <a:ext cx="432000" cy="422475"/>
        </a:xfrm>
        <a:prstGeom prst="rect">
          <a:avLst/>
        </a:prstGeom>
        <a:ln>
          <a:solidFill>
            <a:schemeClr val="tx1"/>
          </a:solidFill>
        </a:ln>
      </xdr:spPr>
    </xdr:pic>
    <xdr:clientData/>
  </xdr:twoCellAnchor>
  <xdr:twoCellAnchor>
    <xdr:from>
      <xdr:col>12</xdr:col>
      <xdr:colOff>457020</xdr:colOff>
      <xdr:row>332</xdr:row>
      <xdr:rowOff>30345</xdr:rowOff>
    </xdr:from>
    <xdr:to>
      <xdr:col>12</xdr:col>
      <xdr:colOff>889020</xdr:colOff>
      <xdr:row>332</xdr:row>
      <xdr:rowOff>452820</xdr:rowOff>
    </xdr:to>
    <xdr:pic>
      <xdr:nvPicPr>
        <xdr:cNvPr id="843" name="Picture 842">
          <a:extLst>
            <a:ext uri="{FF2B5EF4-FFF2-40B4-BE49-F238E27FC236}">
              <a16:creationId xmlns:a16="http://schemas.microsoft.com/office/drawing/2014/main" id="{93FC4A54-84E7-4383-98D0-EF5D3E6CC031}"/>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811431" y="145184541"/>
          <a:ext cx="432000" cy="422475"/>
        </a:xfrm>
        <a:prstGeom prst="rect">
          <a:avLst/>
        </a:prstGeom>
        <a:ln>
          <a:solidFill>
            <a:schemeClr val="tx1"/>
          </a:solidFill>
        </a:ln>
      </xdr:spPr>
    </xdr:pic>
    <xdr:clientData/>
  </xdr:twoCellAnchor>
  <xdr:twoCellAnchor>
    <xdr:from>
      <xdr:col>9</xdr:col>
      <xdr:colOff>448878</xdr:colOff>
      <xdr:row>6</xdr:row>
      <xdr:rowOff>23131</xdr:rowOff>
    </xdr:from>
    <xdr:to>
      <xdr:col>9</xdr:col>
      <xdr:colOff>880878</xdr:colOff>
      <xdr:row>6</xdr:row>
      <xdr:rowOff>455131</xdr:rowOff>
    </xdr:to>
    <xdr:pic>
      <xdr:nvPicPr>
        <xdr:cNvPr id="844" name="Picture 843">
          <a:extLst>
            <a:ext uri="{FF2B5EF4-FFF2-40B4-BE49-F238E27FC236}">
              <a16:creationId xmlns:a16="http://schemas.microsoft.com/office/drawing/2014/main" id="{82EC0683-37CC-4D65-B4E5-7E49D8285F0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5000"/>
                  </a14:imgEffect>
                </a14:imgLayer>
              </a14:imgProps>
            </a:ext>
            <a:ext uri="{28A0092B-C50C-407E-A947-70E740481C1C}">
              <a14:useLocalDpi xmlns:a14="http://schemas.microsoft.com/office/drawing/2010/main" val="0"/>
            </a:ext>
          </a:extLst>
        </a:blip>
        <a:srcRect/>
        <a:stretch>
          <a:fillRect/>
        </a:stretch>
      </xdr:blipFill>
      <xdr:spPr bwMode="auto">
        <a:xfrm>
          <a:off x="8844485" y="13895613"/>
          <a:ext cx="432000" cy="432000"/>
        </a:xfrm>
        <a:prstGeom prst="rect">
          <a:avLst/>
        </a:prstGeom>
        <a:noFill/>
        <a:ln>
          <a:noFill/>
        </a:ln>
      </xdr:spPr>
    </xdr:pic>
    <xdr:clientData/>
  </xdr:twoCellAnchor>
  <xdr:twoCellAnchor>
    <xdr:from>
      <xdr:col>9</xdr:col>
      <xdr:colOff>452664</xdr:colOff>
      <xdr:row>2</xdr:row>
      <xdr:rowOff>23584</xdr:rowOff>
    </xdr:from>
    <xdr:to>
      <xdr:col>9</xdr:col>
      <xdr:colOff>884664</xdr:colOff>
      <xdr:row>2</xdr:row>
      <xdr:rowOff>446059</xdr:rowOff>
    </xdr:to>
    <xdr:pic>
      <xdr:nvPicPr>
        <xdr:cNvPr id="845" name="Picture 844">
          <a:extLst>
            <a:ext uri="{FF2B5EF4-FFF2-40B4-BE49-F238E27FC236}">
              <a16:creationId xmlns:a16="http://schemas.microsoft.com/office/drawing/2014/main" id="{F8B53BD6-C3E7-445B-A6B6-C769962683A8}"/>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7500"/>
                  </a14:imgEffect>
                  <a14:imgEffect>
                    <a14:brightnessContrast bright="10000"/>
                  </a14:imgEffect>
                </a14:imgLayer>
              </a14:imgProps>
            </a:ext>
          </a:extLst>
        </a:blip>
        <a:stretch>
          <a:fillRect/>
        </a:stretch>
      </xdr:blipFill>
      <xdr:spPr>
        <a:xfrm>
          <a:off x="8848271" y="12072709"/>
          <a:ext cx="432000" cy="422475"/>
        </a:xfrm>
        <a:prstGeom prst="rect">
          <a:avLst/>
        </a:prstGeom>
      </xdr:spPr>
    </xdr:pic>
    <xdr:clientData/>
  </xdr:twoCellAnchor>
  <xdr:twoCellAnchor>
    <xdr:from>
      <xdr:col>9</xdr:col>
      <xdr:colOff>425449</xdr:colOff>
      <xdr:row>5</xdr:row>
      <xdr:rowOff>17235</xdr:rowOff>
    </xdr:from>
    <xdr:to>
      <xdr:col>9</xdr:col>
      <xdr:colOff>859521</xdr:colOff>
      <xdr:row>5</xdr:row>
      <xdr:rowOff>439710</xdr:rowOff>
    </xdr:to>
    <xdr:pic>
      <xdr:nvPicPr>
        <xdr:cNvPr id="846" name="Picture 845">
          <a:extLst>
            <a:ext uri="{FF2B5EF4-FFF2-40B4-BE49-F238E27FC236}">
              <a16:creationId xmlns:a16="http://schemas.microsoft.com/office/drawing/2014/main" id="{22E06D8C-53FA-4C01-BE7E-AABF564EDA0D}"/>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5000"/>
                  </a14:imgEffect>
                </a14:imgLayer>
              </a14:imgProps>
            </a:ext>
          </a:extLst>
        </a:blip>
        <a:stretch>
          <a:fillRect/>
        </a:stretch>
      </xdr:blipFill>
      <xdr:spPr>
        <a:xfrm>
          <a:off x="8821056" y="13433878"/>
          <a:ext cx="434072" cy="422475"/>
        </a:xfrm>
        <a:prstGeom prst="rect">
          <a:avLst/>
        </a:prstGeom>
      </xdr:spPr>
    </xdr:pic>
    <xdr:clientData/>
  </xdr:twoCellAnchor>
  <xdr:twoCellAnchor>
    <xdr:from>
      <xdr:col>9</xdr:col>
      <xdr:colOff>422274</xdr:colOff>
      <xdr:row>4</xdr:row>
      <xdr:rowOff>31476</xdr:rowOff>
    </xdr:from>
    <xdr:to>
      <xdr:col>9</xdr:col>
      <xdr:colOff>854274</xdr:colOff>
      <xdr:row>4</xdr:row>
      <xdr:rowOff>453951</xdr:rowOff>
    </xdr:to>
    <xdr:pic>
      <xdr:nvPicPr>
        <xdr:cNvPr id="847" name="Picture 846" descr="face shield">
          <a:extLst>
            <a:ext uri="{FF2B5EF4-FFF2-40B4-BE49-F238E27FC236}">
              <a16:creationId xmlns:a16="http://schemas.microsoft.com/office/drawing/2014/main" id="{464CAD9A-6665-445F-BCF8-958FCEA98263}"/>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505903" y="1599019"/>
          <a:ext cx="432000" cy="422475"/>
        </a:xfrm>
        <a:prstGeom prst="rect">
          <a:avLst/>
        </a:prstGeom>
        <a:noFill/>
        <a:ln>
          <a:noFill/>
        </a:ln>
      </xdr:spPr>
    </xdr:pic>
    <xdr:clientData/>
  </xdr:twoCellAnchor>
  <xdr:twoCellAnchor>
    <xdr:from>
      <xdr:col>9</xdr:col>
      <xdr:colOff>453118</xdr:colOff>
      <xdr:row>3</xdr:row>
      <xdr:rowOff>19050</xdr:rowOff>
    </xdr:from>
    <xdr:to>
      <xdr:col>9</xdr:col>
      <xdr:colOff>885118</xdr:colOff>
      <xdr:row>3</xdr:row>
      <xdr:rowOff>451050</xdr:rowOff>
    </xdr:to>
    <xdr:pic>
      <xdr:nvPicPr>
        <xdr:cNvPr id="848" name="Picture 847">
          <a:extLst>
            <a:ext uri="{FF2B5EF4-FFF2-40B4-BE49-F238E27FC236}">
              <a16:creationId xmlns:a16="http://schemas.microsoft.com/office/drawing/2014/main" id="{870BED40-99FF-448B-BE48-E6499F34D206}"/>
            </a:ext>
          </a:extLst>
        </xdr:cNvPr>
        <xdr:cNvPicPr>
          <a:picLocks noChangeAspect="1"/>
        </xdr:cNvPicPr>
      </xdr:nvPicPr>
      <xdr:blipFill>
        <a:blip xmlns:r="http://schemas.openxmlformats.org/officeDocument/2006/relationships" r:embed="rId9"/>
        <a:stretch>
          <a:fillRect/>
        </a:stretch>
      </xdr:blipFill>
      <xdr:spPr>
        <a:xfrm>
          <a:off x="8848725" y="12524014"/>
          <a:ext cx="432000" cy="432000"/>
        </a:xfrm>
        <a:prstGeom prst="rect">
          <a:avLst/>
        </a:prstGeom>
      </xdr:spPr>
    </xdr:pic>
    <xdr:clientData/>
  </xdr:twoCellAnchor>
  <xdr:twoCellAnchor>
    <xdr:from>
      <xdr:col>9</xdr:col>
      <xdr:colOff>442982</xdr:colOff>
      <xdr:row>10</xdr:row>
      <xdr:rowOff>16328</xdr:rowOff>
    </xdr:from>
    <xdr:to>
      <xdr:col>9</xdr:col>
      <xdr:colOff>874367</xdr:colOff>
      <xdr:row>10</xdr:row>
      <xdr:rowOff>448328</xdr:rowOff>
    </xdr:to>
    <xdr:pic>
      <xdr:nvPicPr>
        <xdr:cNvPr id="849" name="Picture 848">
          <a:extLst>
            <a:ext uri="{FF2B5EF4-FFF2-40B4-BE49-F238E27FC236}">
              <a16:creationId xmlns:a16="http://schemas.microsoft.com/office/drawing/2014/main" id="{EF8DA31D-41D4-4384-B7E2-038250517F1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838589" y="15712167"/>
          <a:ext cx="431385" cy="432000"/>
        </a:xfrm>
        <a:prstGeom prst="rect">
          <a:avLst/>
        </a:prstGeom>
      </xdr:spPr>
    </xdr:pic>
    <xdr:clientData/>
  </xdr:twoCellAnchor>
  <xdr:twoCellAnchor>
    <xdr:from>
      <xdr:col>9</xdr:col>
      <xdr:colOff>458108</xdr:colOff>
      <xdr:row>7</xdr:row>
      <xdr:rowOff>31432</xdr:rowOff>
    </xdr:from>
    <xdr:to>
      <xdr:col>9</xdr:col>
      <xdr:colOff>894039</xdr:colOff>
      <xdr:row>8</xdr:row>
      <xdr:rowOff>6232</xdr:rowOff>
    </xdr:to>
    <xdr:pic>
      <xdr:nvPicPr>
        <xdr:cNvPr id="850" name="Picture 849">
          <a:extLst>
            <a:ext uri="{FF2B5EF4-FFF2-40B4-BE49-F238E27FC236}">
              <a16:creationId xmlns:a16="http://schemas.microsoft.com/office/drawing/2014/main" id="{33549BCA-EF91-4CB9-9428-8478333FEE4A}"/>
            </a:ext>
          </a:extLst>
        </xdr:cNvPr>
        <xdr:cNvPicPr>
          <a:picLocks noChangeAspect="1"/>
        </xdr:cNvPicPr>
      </xdr:nvPicPr>
      <xdr:blipFill>
        <a:blip xmlns:r="http://schemas.openxmlformats.org/officeDocument/2006/relationships" r:embed="rId12"/>
        <a:stretch>
          <a:fillRect/>
        </a:stretch>
      </xdr:blipFill>
      <xdr:spPr>
        <a:xfrm>
          <a:off x="5541737" y="2970575"/>
          <a:ext cx="435931" cy="432000"/>
        </a:xfrm>
        <a:prstGeom prst="rect">
          <a:avLst/>
        </a:prstGeom>
      </xdr:spPr>
    </xdr:pic>
    <xdr:clientData/>
  </xdr:twoCellAnchor>
  <xdr:twoCellAnchor>
    <xdr:from>
      <xdr:col>9</xdr:col>
      <xdr:colOff>432255</xdr:colOff>
      <xdr:row>9</xdr:row>
      <xdr:rowOff>17235</xdr:rowOff>
    </xdr:from>
    <xdr:to>
      <xdr:col>9</xdr:col>
      <xdr:colOff>864372</xdr:colOff>
      <xdr:row>9</xdr:row>
      <xdr:rowOff>449235</xdr:rowOff>
    </xdr:to>
    <xdr:pic>
      <xdr:nvPicPr>
        <xdr:cNvPr id="851" name="Picture 850">
          <a:extLst>
            <a:ext uri="{FF2B5EF4-FFF2-40B4-BE49-F238E27FC236}">
              <a16:creationId xmlns:a16="http://schemas.microsoft.com/office/drawing/2014/main" id="{FB8F2D2E-C4A2-4F72-8FAA-A267467F3DC9}"/>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bright="7000"/>
                  </a14:imgEffect>
                </a14:imgLayer>
              </a14:imgProps>
            </a:ext>
          </a:extLst>
        </a:blip>
        <a:stretch>
          <a:fillRect/>
        </a:stretch>
      </xdr:blipFill>
      <xdr:spPr>
        <a:xfrm>
          <a:off x="8827862" y="15257235"/>
          <a:ext cx="432117" cy="432000"/>
        </a:xfrm>
        <a:prstGeom prst="rect">
          <a:avLst/>
        </a:prstGeom>
      </xdr:spPr>
    </xdr:pic>
    <xdr:clientData/>
  </xdr:twoCellAnchor>
  <xdr:twoCellAnchor>
    <xdr:from>
      <xdr:col>9</xdr:col>
      <xdr:colOff>459649</xdr:colOff>
      <xdr:row>8</xdr:row>
      <xdr:rowOff>30843</xdr:rowOff>
    </xdr:from>
    <xdr:to>
      <xdr:col>9</xdr:col>
      <xdr:colOff>899512</xdr:colOff>
      <xdr:row>9</xdr:row>
      <xdr:rowOff>5643</xdr:rowOff>
    </xdr:to>
    <xdr:pic>
      <xdr:nvPicPr>
        <xdr:cNvPr id="852" name="Picture 851">
          <a:extLst>
            <a:ext uri="{FF2B5EF4-FFF2-40B4-BE49-F238E27FC236}">
              <a16:creationId xmlns:a16="http://schemas.microsoft.com/office/drawing/2014/main" id="{83ED51EF-835C-4747-B00B-5539B870E749}"/>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rightnessContrast bright="10000"/>
                  </a14:imgEffect>
                </a14:imgLayer>
              </a14:imgProps>
            </a:ext>
          </a:extLst>
        </a:blip>
        <a:stretch>
          <a:fillRect/>
        </a:stretch>
      </xdr:blipFill>
      <xdr:spPr>
        <a:xfrm>
          <a:off x="5543278" y="3427186"/>
          <a:ext cx="439863" cy="432000"/>
        </a:xfrm>
        <a:prstGeom prst="rect">
          <a:avLst/>
        </a:prstGeom>
      </xdr:spPr>
    </xdr:pic>
    <xdr:clientData/>
  </xdr:twoCellAnchor>
  <xdr:twoCellAnchor>
    <xdr:from>
      <xdr:col>9</xdr:col>
      <xdr:colOff>447902</xdr:colOff>
      <xdr:row>11</xdr:row>
      <xdr:rowOff>17690</xdr:rowOff>
    </xdr:from>
    <xdr:to>
      <xdr:col>9</xdr:col>
      <xdr:colOff>879902</xdr:colOff>
      <xdr:row>11</xdr:row>
      <xdr:rowOff>439792</xdr:rowOff>
    </xdr:to>
    <xdr:pic>
      <xdr:nvPicPr>
        <xdr:cNvPr id="853" name="Picture 852">
          <a:extLst>
            <a:ext uri="{FF2B5EF4-FFF2-40B4-BE49-F238E27FC236}">
              <a16:creationId xmlns:a16="http://schemas.microsoft.com/office/drawing/2014/main" id="{532B71EC-5E7A-4378-B9F1-4C65F65B5F21}"/>
            </a:ext>
          </a:extLst>
        </xdr:cNvPr>
        <xdr:cNvPicPr>
          <a:picLocks noChangeAspect="1"/>
        </xdr:cNvPicPr>
      </xdr:nvPicPr>
      <xdr:blipFill>
        <a:blip xmlns:r="http://schemas.openxmlformats.org/officeDocument/2006/relationships" r:embed="rId15"/>
        <a:stretch>
          <a:fillRect/>
        </a:stretch>
      </xdr:blipFill>
      <xdr:spPr>
        <a:xfrm>
          <a:off x="8843509" y="16169369"/>
          <a:ext cx="432000" cy="422102"/>
        </a:xfrm>
        <a:prstGeom prst="rect">
          <a:avLst/>
        </a:prstGeom>
      </xdr:spPr>
    </xdr:pic>
    <xdr:clientData/>
  </xdr:twoCellAnchor>
  <xdr:twoCellAnchor>
    <xdr:from>
      <xdr:col>9</xdr:col>
      <xdr:colOff>447901</xdr:colOff>
      <xdr:row>12</xdr:row>
      <xdr:rowOff>20411</xdr:rowOff>
    </xdr:from>
    <xdr:to>
      <xdr:col>9</xdr:col>
      <xdr:colOff>879901</xdr:colOff>
      <xdr:row>12</xdr:row>
      <xdr:rowOff>452038</xdr:rowOff>
    </xdr:to>
    <xdr:pic>
      <xdr:nvPicPr>
        <xdr:cNvPr id="854" name="Picture 853">
          <a:extLst>
            <a:ext uri="{FF2B5EF4-FFF2-40B4-BE49-F238E27FC236}">
              <a16:creationId xmlns:a16="http://schemas.microsoft.com/office/drawing/2014/main" id="{F775FC30-AE92-4E21-8F87-FB61D93BC06E}"/>
            </a:ext>
          </a:extLst>
        </xdr:cNvPr>
        <xdr:cNvPicPr>
          <a:picLocks noChangeAspect="1"/>
        </xdr:cNvPicPr>
      </xdr:nvPicPr>
      <xdr:blipFill>
        <a:blip xmlns:r="http://schemas.openxmlformats.org/officeDocument/2006/relationships" r:embed="rId15"/>
        <a:stretch>
          <a:fillRect/>
        </a:stretch>
      </xdr:blipFill>
      <xdr:spPr>
        <a:xfrm>
          <a:off x="8843508" y="16627929"/>
          <a:ext cx="432000" cy="431627"/>
        </a:xfrm>
        <a:prstGeom prst="rect">
          <a:avLst/>
        </a:prstGeom>
      </xdr:spPr>
    </xdr:pic>
    <xdr:clientData/>
  </xdr:twoCellAnchor>
  <xdr:twoCellAnchor>
    <xdr:from>
      <xdr:col>9</xdr:col>
      <xdr:colOff>433003</xdr:colOff>
      <xdr:row>15</xdr:row>
      <xdr:rowOff>21270</xdr:rowOff>
    </xdr:from>
    <xdr:to>
      <xdr:col>9</xdr:col>
      <xdr:colOff>865003</xdr:colOff>
      <xdr:row>15</xdr:row>
      <xdr:rowOff>443745</xdr:rowOff>
    </xdr:to>
    <xdr:pic>
      <xdr:nvPicPr>
        <xdr:cNvPr id="856" name="Picture 855">
          <a:extLst>
            <a:ext uri="{FF2B5EF4-FFF2-40B4-BE49-F238E27FC236}">
              <a16:creationId xmlns:a16="http://schemas.microsoft.com/office/drawing/2014/main" id="{09BFFEFF-8798-4EEC-8D37-C4D0AF271738}"/>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28610" y="17996306"/>
          <a:ext cx="432000" cy="422475"/>
        </a:xfrm>
        <a:prstGeom prst="rect">
          <a:avLst/>
        </a:prstGeom>
        <a:noFill/>
      </xdr:spPr>
    </xdr:pic>
    <xdr:clientData/>
  </xdr:twoCellAnchor>
  <xdr:twoCellAnchor>
    <xdr:from>
      <xdr:col>9</xdr:col>
      <xdr:colOff>445477</xdr:colOff>
      <xdr:row>13</xdr:row>
      <xdr:rowOff>22677</xdr:rowOff>
    </xdr:from>
    <xdr:to>
      <xdr:col>9</xdr:col>
      <xdr:colOff>877477</xdr:colOff>
      <xdr:row>13</xdr:row>
      <xdr:rowOff>445152</xdr:rowOff>
    </xdr:to>
    <xdr:pic>
      <xdr:nvPicPr>
        <xdr:cNvPr id="857" name="Picture 856">
          <a:extLst>
            <a:ext uri="{FF2B5EF4-FFF2-40B4-BE49-F238E27FC236}">
              <a16:creationId xmlns:a16="http://schemas.microsoft.com/office/drawing/2014/main" id="{31BD913F-9010-4143-960B-14D2B691B1E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5654333"/>
          <a:ext cx="432000" cy="422475"/>
        </a:xfrm>
        <a:prstGeom prst="rect">
          <a:avLst/>
        </a:prstGeom>
        <a:noFill/>
      </xdr:spPr>
    </xdr:pic>
    <xdr:clientData/>
  </xdr:twoCellAnchor>
  <xdr:twoCellAnchor>
    <xdr:from>
      <xdr:col>9</xdr:col>
      <xdr:colOff>442232</xdr:colOff>
      <xdr:row>16</xdr:row>
      <xdr:rowOff>15874</xdr:rowOff>
    </xdr:from>
    <xdr:to>
      <xdr:col>9</xdr:col>
      <xdr:colOff>874232</xdr:colOff>
      <xdr:row>16</xdr:row>
      <xdr:rowOff>447874</xdr:rowOff>
    </xdr:to>
    <xdr:pic>
      <xdr:nvPicPr>
        <xdr:cNvPr id="858" name="Picture 857">
          <a:extLst>
            <a:ext uri="{FF2B5EF4-FFF2-40B4-BE49-F238E27FC236}">
              <a16:creationId xmlns:a16="http://schemas.microsoft.com/office/drawing/2014/main" id="{EFA85304-A40B-4936-AE59-3511B26B1E91}"/>
            </a:ext>
          </a:extLst>
        </xdr:cNvPr>
        <xdr:cNvPicPr>
          <a:picLocks noChangeAspect="1"/>
        </xdr:cNvPicPr>
      </xdr:nvPicPr>
      <xdr:blipFill>
        <a:blip xmlns:r="http://schemas.openxmlformats.org/officeDocument/2006/relationships" r:embed="rId19"/>
        <a:stretch>
          <a:fillRect/>
        </a:stretch>
      </xdr:blipFill>
      <xdr:spPr>
        <a:xfrm>
          <a:off x="8837839" y="18446749"/>
          <a:ext cx="432000" cy="432000"/>
        </a:xfrm>
        <a:prstGeom prst="rect">
          <a:avLst/>
        </a:prstGeom>
      </xdr:spPr>
    </xdr:pic>
    <xdr:clientData/>
  </xdr:twoCellAnchor>
  <xdr:twoCellAnchor>
    <xdr:from>
      <xdr:col>9</xdr:col>
      <xdr:colOff>450013</xdr:colOff>
      <xdr:row>17</xdr:row>
      <xdr:rowOff>21543</xdr:rowOff>
    </xdr:from>
    <xdr:to>
      <xdr:col>9</xdr:col>
      <xdr:colOff>882013</xdr:colOff>
      <xdr:row>17</xdr:row>
      <xdr:rowOff>453543</xdr:rowOff>
    </xdr:to>
    <xdr:pic>
      <xdr:nvPicPr>
        <xdr:cNvPr id="859" name="Picture 858" descr="hair protection">
          <a:extLst>
            <a:ext uri="{FF2B5EF4-FFF2-40B4-BE49-F238E27FC236}">
              <a16:creationId xmlns:a16="http://schemas.microsoft.com/office/drawing/2014/main" id="{EB027660-A75E-49CE-88E3-E90FA7570051}"/>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45620" y="18908257"/>
          <a:ext cx="432000" cy="432000"/>
        </a:xfrm>
        <a:prstGeom prst="rect">
          <a:avLst/>
        </a:prstGeom>
        <a:noFill/>
        <a:ln>
          <a:noFill/>
        </a:ln>
      </xdr:spPr>
    </xdr:pic>
    <xdr:clientData/>
  </xdr:twoCellAnchor>
  <xdr:twoCellAnchor>
    <xdr:from>
      <xdr:col>9</xdr:col>
      <xdr:colOff>430735</xdr:colOff>
      <xdr:row>18</xdr:row>
      <xdr:rowOff>23811</xdr:rowOff>
    </xdr:from>
    <xdr:to>
      <xdr:col>9</xdr:col>
      <xdr:colOff>862735</xdr:colOff>
      <xdr:row>18</xdr:row>
      <xdr:rowOff>446286</xdr:rowOff>
    </xdr:to>
    <xdr:pic>
      <xdr:nvPicPr>
        <xdr:cNvPr id="860" name="Picture 859" descr="head protection">
          <a:extLst>
            <a:ext uri="{FF2B5EF4-FFF2-40B4-BE49-F238E27FC236}">
              <a16:creationId xmlns:a16="http://schemas.microsoft.com/office/drawing/2014/main" id="{AB0168C6-6FED-44C3-B9AA-086F6AE81894}"/>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26342" y="19366365"/>
          <a:ext cx="432000" cy="422475"/>
        </a:xfrm>
        <a:prstGeom prst="rect">
          <a:avLst/>
        </a:prstGeom>
        <a:noFill/>
        <a:ln>
          <a:noFill/>
        </a:ln>
      </xdr:spPr>
    </xdr:pic>
    <xdr:clientData/>
  </xdr:twoCellAnchor>
  <xdr:twoCellAnchor>
    <xdr:from>
      <xdr:col>9</xdr:col>
      <xdr:colOff>481990</xdr:colOff>
      <xdr:row>21</xdr:row>
      <xdr:rowOff>20408</xdr:rowOff>
    </xdr:from>
    <xdr:to>
      <xdr:col>9</xdr:col>
      <xdr:colOff>913990</xdr:colOff>
      <xdr:row>21</xdr:row>
      <xdr:rowOff>442883</xdr:rowOff>
    </xdr:to>
    <xdr:pic>
      <xdr:nvPicPr>
        <xdr:cNvPr id="861" name="Picture 860">
          <a:extLst>
            <a:ext uri="{FF2B5EF4-FFF2-40B4-BE49-F238E27FC236}">
              <a16:creationId xmlns:a16="http://schemas.microsoft.com/office/drawing/2014/main" id="{54A60116-3E5F-4F97-B784-4609EA774976}"/>
            </a:ext>
          </a:extLst>
        </xdr:cNvPr>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8877597" y="20730479"/>
          <a:ext cx="432000" cy="422475"/>
        </a:xfrm>
        <a:prstGeom prst="rect">
          <a:avLst/>
        </a:prstGeom>
        <a:noFill/>
        <a:ln>
          <a:noFill/>
        </a:ln>
      </xdr:spPr>
    </xdr:pic>
    <xdr:clientData/>
  </xdr:twoCellAnchor>
  <xdr:twoCellAnchor>
    <xdr:from>
      <xdr:col>9</xdr:col>
      <xdr:colOff>476094</xdr:colOff>
      <xdr:row>23</xdr:row>
      <xdr:rowOff>18142</xdr:rowOff>
    </xdr:from>
    <xdr:to>
      <xdr:col>9</xdr:col>
      <xdr:colOff>908094</xdr:colOff>
      <xdr:row>23</xdr:row>
      <xdr:rowOff>440617</xdr:rowOff>
    </xdr:to>
    <xdr:pic>
      <xdr:nvPicPr>
        <xdr:cNvPr id="862" name="Picture 861" descr="safety vests">
          <a:extLst>
            <a:ext uri="{FF2B5EF4-FFF2-40B4-BE49-F238E27FC236}">
              <a16:creationId xmlns:a16="http://schemas.microsoft.com/office/drawing/2014/main" id="{3EA57324-2604-4F3D-957D-728CC540144A}"/>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8871701" y="21639892"/>
          <a:ext cx="432000" cy="422475"/>
        </a:xfrm>
        <a:prstGeom prst="rect">
          <a:avLst/>
        </a:prstGeom>
        <a:noFill/>
        <a:ln>
          <a:noFill/>
        </a:ln>
      </xdr:spPr>
    </xdr:pic>
    <xdr:clientData/>
  </xdr:twoCellAnchor>
  <xdr:twoCellAnchor>
    <xdr:from>
      <xdr:col>9</xdr:col>
      <xdr:colOff>479048</xdr:colOff>
      <xdr:row>19</xdr:row>
      <xdr:rowOff>18541</xdr:rowOff>
    </xdr:from>
    <xdr:to>
      <xdr:col>9</xdr:col>
      <xdr:colOff>911048</xdr:colOff>
      <xdr:row>19</xdr:row>
      <xdr:rowOff>441016</xdr:rowOff>
    </xdr:to>
    <xdr:pic>
      <xdr:nvPicPr>
        <xdr:cNvPr id="863" name="Picture 862">
          <a:extLst>
            <a:ext uri="{FF2B5EF4-FFF2-40B4-BE49-F238E27FC236}">
              <a16:creationId xmlns:a16="http://schemas.microsoft.com/office/drawing/2014/main" id="{F01F1375-1747-4CA4-BE99-D115082FCEA2}"/>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74655" y="19816934"/>
          <a:ext cx="432000" cy="422475"/>
        </a:xfrm>
        <a:prstGeom prst="rect">
          <a:avLst/>
        </a:prstGeom>
        <a:noFill/>
      </xdr:spPr>
    </xdr:pic>
    <xdr:clientData/>
  </xdr:twoCellAnchor>
  <xdr:twoCellAnchor>
    <xdr:from>
      <xdr:col>9</xdr:col>
      <xdr:colOff>472691</xdr:colOff>
      <xdr:row>20</xdr:row>
      <xdr:rowOff>20410</xdr:rowOff>
    </xdr:from>
    <xdr:to>
      <xdr:col>9</xdr:col>
      <xdr:colOff>905440</xdr:colOff>
      <xdr:row>20</xdr:row>
      <xdr:rowOff>452410</xdr:rowOff>
    </xdr:to>
    <xdr:pic>
      <xdr:nvPicPr>
        <xdr:cNvPr id="864" name="Picture 863">
          <a:extLst>
            <a:ext uri="{FF2B5EF4-FFF2-40B4-BE49-F238E27FC236}">
              <a16:creationId xmlns:a16="http://schemas.microsoft.com/office/drawing/2014/main" id="{29274A53-C469-4F38-A590-B38654BF67E7}"/>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868298" y="20274642"/>
          <a:ext cx="432749" cy="432000"/>
        </a:xfrm>
        <a:prstGeom prst="rect">
          <a:avLst/>
        </a:prstGeom>
      </xdr:spPr>
    </xdr:pic>
    <xdr:clientData/>
  </xdr:twoCellAnchor>
  <xdr:twoCellAnchor>
    <xdr:from>
      <xdr:col>9</xdr:col>
      <xdr:colOff>476250</xdr:colOff>
      <xdr:row>22</xdr:row>
      <xdr:rowOff>17010</xdr:rowOff>
    </xdr:from>
    <xdr:to>
      <xdr:col>9</xdr:col>
      <xdr:colOff>908250</xdr:colOff>
      <xdr:row>22</xdr:row>
      <xdr:rowOff>449010</xdr:rowOff>
    </xdr:to>
    <xdr:pic>
      <xdr:nvPicPr>
        <xdr:cNvPr id="865" name="Picture 864">
          <a:extLst>
            <a:ext uri="{FF2B5EF4-FFF2-40B4-BE49-F238E27FC236}">
              <a16:creationId xmlns:a16="http://schemas.microsoft.com/office/drawing/2014/main" id="{6C1D85F4-F792-4261-9294-9C4F272306C1}"/>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8871857" y="21182921"/>
          <a:ext cx="432000" cy="432000"/>
        </a:xfrm>
        <a:prstGeom prst="rect">
          <a:avLst/>
        </a:prstGeom>
      </xdr:spPr>
    </xdr:pic>
    <xdr:clientData/>
  </xdr:twoCellAnchor>
  <xdr:twoCellAnchor>
    <xdr:from>
      <xdr:col>9</xdr:col>
      <xdr:colOff>436563</xdr:colOff>
      <xdr:row>24</xdr:row>
      <xdr:rowOff>17008</xdr:rowOff>
    </xdr:from>
    <xdr:to>
      <xdr:col>9</xdr:col>
      <xdr:colOff>868563</xdr:colOff>
      <xdr:row>24</xdr:row>
      <xdr:rowOff>449008</xdr:rowOff>
    </xdr:to>
    <xdr:pic>
      <xdr:nvPicPr>
        <xdr:cNvPr id="866" name="Picture 865">
          <a:extLst>
            <a:ext uri="{FF2B5EF4-FFF2-40B4-BE49-F238E27FC236}">
              <a16:creationId xmlns:a16="http://schemas.microsoft.com/office/drawing/2014/main" id="{6FD0F0C4-B4EA-46C5-B6EA-6E8D8051247C}"/>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flipH="1">
          <a:off x="8832170" y="22094597"/>
          <a:ext cx="432000" cy="432000"/>
        </a:xfrm>
        <a:prstGeom prst="rect">
          <a:avLst/>
        </a:prstGeom>
      </xdr:spPr>
    </xdr:pic>
    <xdr:clientData/>
  </xdr:twoCellAnchor>
  <xdr:twoCellAnchor>
    <xdr:from>
      <xdr:col>9</xdr:col>
      <xdr:colOff>443370</xdr:colOff>
      <xdr:row>25</xdr:row>
      <xdr:rowOff>17007</xdr:rowOff>
    </xdr:from>
    <xdr:to>
      <xdr:col>9</xdr:col>
      <xdr:colOff>875370</xdr:colOff>
      <xdr:row>25</xdr:row>
      <xdr:rowOff>449007</xdr:rowOff>
    </xdr:to>
    <xdr:pic>
      <xdr:nvPicPr>
        <xdr:cNvPr id="867" name="Picture 866">
          <a:extLst>
            <a:ext uri="{FF2B5EF4-FFF2-40B4-BE49-F238E27FC236}">
              <a16:creationId xmlns:a16="http://schemas.microsoft.com/office/drawing/2014/main" id="{530D406D-D237-4561-A9D7-BEE3FBC1372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8838977" y="22550436"/>
          <a:ext cx="432000" cy="432000"/>
        </a:xfrm>
        <a:prstGeom prst="rect">
          <a:avLst/>
        </a:prstGeom>
        <a:noFill/>
      </xdr:spPr>
    </xdr:pic>
    <xdr:clientData/>
  </xdr:twoCellAnchor>
  <xdr:twoCellAnchor>
    <xdr:from>
      <xdr:col>9</xdr:col>
      <xdr:colOff>457020</xdr:colOff>
      <xdr:row>26</xdr:row>
      <xdr:rowOff>30345</xdr:rowOff>
    </xdr:from>
    <xdr:to>
      <xdr:col>9</xdr:col>
      <xdr:colOff>889020</xdr:colOff>
      <xdr:row>26</xdr:row>
      <xdr:rowOff>452820</xdr:rowOff>
    </xdr:to>
    <xdr:pic>
      <xdr:nvPicPr>
        <xdr:cNvPr id="868" name="Picture 867">
          <a:extLst>
            <a:ext uri="{FF2B5EF4-FFF2-40B4-BE49-F238E27FC236}">
              <a16:creationId xmlns:a16="http://schemas.microsoft.com/office/drawing/2014/main" id="{1D9126C8-4BEA-4DF8-B03D-C888771CC91B}"/>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8852627" y="23019613"/>
          <a:ext cx="432000" cy="422475"/>
        </a:xfrm>
        <a:prstGeom prst="rect">
          <a:avLst/>
        </a:prstGeom>
        <a:ln>
          <a:solidFill>
            <a:schemeClr val="tx1"/>
          </a:solidFill>
        </a:ln>
      </xdr:spPr>
    </xdr:pic>
    <xdr:clientData/>
  </xdr:twoCellAnchor>
  <xdr:twoCellAnchor>
    <xdr:from>
      <xdr:col>9</xdr:col>
      <xdr:colOff>459105</xdr:colOff>
      <xdr:row>1</xdr:row>
      <xdr:rowOff>24990</xdr:rowOff>
    </xdr:from>
    <xdr:to>
      <xdr:col>9</xdr:col>
      <xdr:colOff>891105</xdr:colOff>
      <xdr:row>1</xdr:row>
      <xdr:rowOff>437940</xdr:rowOff>
    </xdr:to>
    <xdr:pic>
      <xdr:nvPicPr>
        <xdr:cNvPr id="869" name="Picture 868">
          <a:extLst>
            <a:ext uri="{FF2B5EF4-FFF2-40B4-BE49-F238E27FC236}">
              <a16:creationId xmlns:a16="http://schemas.microsoft.com/office/drawing/2014/main" id="{DB8578C0-4E15-4A58-9C48-14B6F5DFF2F9}"/>
            </a:ext>
          </a:extLst>
        </xdr:cNvPr>
        <xdr:cNvPicPr>
          <a:picLocks noChangeAspect="1"/>
        </xdr:cNvPicPr>
      </xdr:nvPicPr>
      <xdr:blipFill>
        <a:blip xmlns:r="http://schemas.openxmlformats.org/officeDocument/2006/relationships" r:embed="rId10"/>
        <a:stretch>
          <a:fillRect/>
        </a:stretch>
      </xdr:blipFill>
      <xdr:spPr>
        <a:xfrm>
          <a:off x="5813516" y="12074115"/>
          <a:ext cx="432000" cy="412950"/>
        </a:xfrm>
        <a:prstGeom prst="rect">
          <a:avLst/>
        </a:prstGeom>
      </xdr:spPr>
    </xdr:pic>
    <xdr:clientData/>
  </xdr:twoCellAnchor>
  <xdr:twoCellAnchor>
    <xdr:from>
      <xdr:col>9</xdr:col>
      <xdr:colOff>476250</xdr:colOff>
      <xdr:row>325</xdr:row>
      <xdr:rowOff>17010</xdr:rowOff>
    </xdr:from>
    <xdr:to>
      <xdr:col>9</xdr:col>
      <xdr:colOff>908250</xdr:colOff>
      <xdr:row>325</xdr:row>
      <xdr:rowOff>449010</xdr:rowOff>
    </xdr:to>
    <xdr:pic>
      <xdr:nvPicPr>
        <xdr:cNvPr id="870" name="Picture 869">
          <a:extLst>
            <a:ext uri="{FF2B5EF4-FFF2-40B4-BE49-F238E27FC236}">
              <a16:creationId xmlns:a16="http://schemas.microsoft.com/office/drawing/2014/main" id="{798634DA-0138-48C4-BFE9-0929E28041B3}"/>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599339" y="152920474"/>
          <a:ext cx="432000" cy="432000"/>
        </a:xfrm>
        <a:prstGeom prst="rect">
          <a:avLst/>
        </a:prstGeom>
      </xdr:spPr>
    </xdr:pic>
    <xdr:clientData/>
  </xdr:twoCellAnchor>
  <xdr:twoCellAnchor>
    <xdr:from>
      <xdr:col>9</xdr:col>
      <xdr:colOff>476250</xdr:colOff>
      <xdr:row>326</xdr:row>
      <xdr:rowOff>17010</xdr:rowOff>
    </xdr:from>
    <xdr:to>
      <xdr:col>9</xdr:col>
      <xdr:colOff>908250</xdr:colOff>
      <xdr:row>326</xdr:row>
      <xdr:rowOff>449010</xdr:rowOff>
    </xdr:to>
    <xdr:pic>
      <xdr:nvPicPr>
        <xdr:cNvPr id="871" name="Picture 870">
          <a:extLst>
            <a:ext uri="{FF2B5EF4-FFF2-40B4-BE49-F238E27FC236}">
              <a16:creationId xmlns:a16="http://schemas.microsoft.com/office/drawing/2014/main" id="{F48C1316-4296-4AF8-BB63-4FACC6FB5058}"/>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rightnessContrast bright="29000"/>
                  </a14:imgEffect>
                </a14:imgLayer>
              </a14:imgProps>
            </a:ext>
          </a:extLst>
        </a:blip>
        <a:stretch>
          <a:fillRect/>
        </a:stretch>
      </xdr:blipFill>
      <xdr:spPr>
        <a:xfrm>
          <a:off x="5599339" y="152920474"/>
          <a:ext cx="432000" cy="432000"/>
        </a:xfrm>
        <a:prstGeom prst="rect">
          <a:avLst/>
        </a:prstGeom>
      </xdr:spPr>
    </xdr:pic>
    <xdr:clientData/>
  </xdr:twoCellAnchor>
  <xdr:twoCellAnchor>
    <xdr:from>
      <xdr:col>9</xdr:col>
      <xdr:colOff>476094</xdr:colOff>
      <xdr:row>328</xdr:row>
      <xdr:rowOff>18142</xdr:rowOff>
    </xdr:from>
    <xdr:to>
      <xdr:col>9</xdr:col>
      <xdr:colOff>908094</xdr:colOff>
      <xdr:row>328</xdr:row>
      <xdr:rowOff>440617</xdr:rowOff>
    </xdr:to>
    <xdr:pic>
      <xdr:nvPicPr>
        <xdr:cNvPr id="872" name="Picture 871" descr="safety vests">
          <a:extLst>
            <a:ext uri="{FF2B5EF4-FFF2-40B4-BE49-F238E27FC236}">
              <a16:creationId xmlns:a16="http://schemas.microsoft.com/office/drawing/2014/main" id="{BDE6E5FE-3B45-409F-8014-58D3116AA9FC}"/>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599183" y="154289124"/>
          <a:ext cx="432000" cy="422475"/>
        </a:xfrm>
        <a:prstGeom prst="rect">
          <a:avLst/>
        </a:prstGeom>
        <a:noFill/>
        <a:ln>
          <a:noFill/>
        </a:ln>
      </xdr:spPr>
    </xdr:pic>
    <xdr:clientData/>
  </xdr:twoCellAnchor>
  <xdr:twoCellAnchor>
    <xdr:from>
      <xdr:col>9</xdr:col>
      <xdr:colOff>476094</xdr:colOff>
      <xdr:row>329</xdr:row>
      <xdr:rowOff>18142</xdr:rowOff>
    </xdr:from>
    <xdr:to>
      <xdr:col>9</xdr:col>
      <xdr:colOff>908094</xdr:colOff>
      <xdr:row>329</xdr:row>
      <xdr:rowOff>440617</xdr:rowOff>
    </xdr:to>
    <xdr:pic>
      <xdr:nvPicPr>
        <xdr:cNvPr id="873" name="Picture 872" descr="safety vests">
          <a:extLst>
            <a:ext uri="{FF2B5EF4-FFF2-40B4-BE49-F238E27FC236}">
              <a16:creationId xmlns:a16="http://schemas.microsoft.com/office/drawing/2014/main" id="{24D09B95-BE01-4DEC-8752-940E49F2E429}"/>
            </a:ext>
          </a:extLst>
        </xdr:cNvPr>
        <xdr:cNvPicPr>
          <a:picLocks noChangeAspect="1"/>
        </xdr:cNvPicPr>
      </xdr:nvPicPr>
      <xdr:blipFill>
        <a:blip xmlns:r="http://schemas.openxmlformats.org/officeDocument/2006/relationships" r:embed="rId26">
          <a:extLst>
            <a:ext uri="{BEBA8EAE-BF5A-486C-A8C5-ECC9F3942E4B}">
              <a14:imgProps xmlns:a14="http://schemas.microsoft.com/office/drawing/2010/main">
                <a14:imgLayer r:embed="rId27">
                  <a14:imgEffect>
                    <a14:brightnessContrast bright="30000"/>
                  </a14:imgEffect>
                </a14:imgLayer>
              </a14:imgProps>
            </a:ext>
            <a:ext uri="{28A0092B-C50C-407E-A947-70E740481C1C}">
              <a14:useLocalDpi xmlns:a14="http://schemas.microsoft.com/office/drawing/2010/main" val="0"/>
            </a:ext>
          </a:extLst>
        </a:blip>
        <a:srcRect/>
        <a:stretch>
          <a:fillRect/>
        </a:stretch>
      </xdr:blipFill>
      <xdr:spPr bwMode="auto">
        <a:xfrm>
          <a:off x="5599183" y="154289124"/>
          <a:ext cx="432000" cy="422475"/>
        </a:xfrm>
        <a:prstGeom prst="rect">
          <a:avLst/>
        </a:prstGeom>
        <a:noFill/>
        <a:ln>
          <a:noFill/>
        </a:ln>
      </xdr:spPr>
    </xdr:pic>
    <xdr:clientData/>
  </xdr:twoCellAnchor>
  <xdr:twoCellAnchor>
    <xdr:from>
      <xdr:col>9</xdr:col>
      <xdr:colOff>445477</xdr:colOff>
      <xdr:row>14</xdr:row>
      <xdr:rowOff>22677</xdr:rowOff>
    </xdr:from>
    <xdr:to>
      <xdr:col>9</xdr:col>
      <xdr:colOff>877477</xdr:colOff>
      <xdr:row>14</xdr:row>
      <xdr:rowOff>445152</xdr:rowOff>
    </xdr:to>
    <xdr:pic>
      <xdr:nvPicPr>
        <xdr:cNvPr id="2" name="Picture 1">
          <a:extLst>
            <a:ext uri="{FF2B5EF4-FFF2-40B4-BE49-F238E27FC236}">
              <a16:creationId xmlns:a16="http://schemas.microsoft.com/office/drawing/2014/main" id="{7682F17E-50E6-4A12-AFE1-6434C97C5669}"/>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5654333"/>
          <a:ext cx="432000" cy="422475"/>
        </a:xfrm>
        <a:prstGeom prst="rect">
          <a:avLst/>
        </a:prstGeom>
        <a:noFill/>
      </xdr:spPr>
    </xdr:pic>
    <xdr:clientData/>
  </xdr:twoCellAnchor>
  <xdr:twoCellAnchor>
    <xdr:from>
      <xdr:col>12</xdr:col>
      <xdr:colOff>445477</xdr:colOff>
      <xdr:row>38</xdr:row>
      <xdr:rowOff>22677</xdr:rowOff>
    </xdr:from>
    <xdr:to>
      <xdr:col>12</xdr:col>
      <xdr:colOff>877477</xdr:colOff>
      <xdr:row>38</xdr:row>
      <xdr:rowOff>445152</xdr:rowOff>
    </xdr:to>
    <xdr:pic>
      <xdr:nvPicPr>
        <xdr:cNvPr id="3" name="Picture 2">
          <a:extLst>
            <a:ext uri="{FF2B5EF4-FFF2-40B4-BE49-F238E27FC236}">
              <a16:creationId xmlns:a16="http://schemas.microsoft.com/office/drawing/2014/main" id="{457CB8F2-6048-4FA9-B05D-76EA7EC91298}"/>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5654333"/>
          <a:ext cx="432000" cy="422475"/>
        </a:xfrm>
        <a:prstGeom prst="rect">
          <a:avLst/>
        </a:prstGeom>
        <a:noFill/>
      </xdr:spPr>
    </xdr:pic>
    <xdr:clientData/>
  </xdr:twoCellAnchor>
  <xdr:twoCellAnchor>
    <xdr:from>
      <xdr:col>12</xdr:col>
      <xdr:colOff>445477</xdr:colOff>
      <xdr:row>39</xdr:row>
      <xdr:rowOff>22677</xdr:rowOff>
    </xdr:from>
    <xdr:to>
      <xdr:col>12</xdr:col>
      <xdr:colOff>877477</xdr:colOff>
      <xdr:row>39</xdr:row>
      <xdr:rowOff>445152</xdr:rowOff>
    </xdr:to>
    <xdr:pic>
      <xdr:nvPicPr>
        <xdr:cNvPr id="4" name="Picture 3">
          <a:extLst>
            <a:ext uri="{FF2B5EF4-FFF2-40B4-BE49-F238E27FC236}">
              <a16:creationId xmlns:a16="http://schemas.microsoft.com/office/drawing/2014/main" id="{B94A8E7E-D659-494A-B4D6-FED76757FD10}"/>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6106771"/>
          <a:ext cx="432000" cy="422475"/>
        </a:xfrm>
        <a:prstGeom prst="rect">
          <a:avLst/>
        </a:prstGeom>
        <a:noFill/>
      </xdr:spPr>
    </xdr:pic>
    <xdr:clientData/>
  </xdr:twoCellAnchor>
  <xdr:twoCellAnchor>
    <xdr:from>
      <xdr:col>12</xdr:col>
      <xdr:colOff>445477</xdr:colOff>
      <xdr:row>59</xdr:row>
      <xdr:rowOff>22677</xdr:rowOff>
    </xdr:from>
    <xdr:to>
      <xdr:col>12</xdr:col>
      <xdr:colOff>877477</xdr:colOff>
      <xdr:row>59</xdr:row>
      <xdr:rowOff>445152</xdr:rowOff>
    </xdr:to>
    <xdr:pic>
      <xdr:nvPicPr>
        <xdr:cNvPr id="5" name="Picture 4">
          <a:extLst>
            <a:ext uri="{FF2B5EF4-FFF2-40B4-BE49-F238E27FC236}">
              <a16:creationId xmlns:a16="http://schemas.microsoft.com/office/drawing/2014/main" id="{D258C100-0E73-4C24-BE19-786B71E9DF6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5654333"/>
          <a:ext cx="432000" cy="422475"/>
        </a:xfrm>
        <a:prstGeom prst="rect">
          <a:avLst/>
        </a:prstGeom>
        <a:noFill/>
      </xdr:spPr>
    </xdr:pic>
    <xdr:clientData/>
  </xdr:twoCellAnchor>
  <xdr:twoCellAnchor>
    <xdr:from>
      <xdr:col>12</xdr:col>
      <xdr:colOff>445477</xdr:colOff>
      <xdr:row>60</xdr:row>
      <xdr:rowOff>22677</xdr:rowOff>
    </xdr:from>
    <xdr:to>
      <xdr:col>12</xdr:col>
      <xdr:colOff>877477</xdr:colOff>
      <xdr:row>60</xdr:row>
      <xdr:rowOff>445152</xdr:rowOff>
    </xdr:to>
    <xdr:pic>
      <xdr:nvPicPr>
        <xdr:cNvPr id="6" name="Picture 5">
          <a:extLst>
            <a:ext uri="{FF2B5EF4-FFF2-40B4-BE49-F238E27FC236}">
              <a16:creationId xmlns:a16="http://schemas.microsoft.com/office/drawing/2014/main" id="{D5FD4EB4-54E8-4517-83B3-B6229ED2A2C7}"/>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6106771"/>
          <a:ext cx="432000" cy="422475"/>
        </a:xfrm>
        <a:prstGeom prst="rect">
          <a:avLst/>
        </a:prstGeom>
        <a:noFill/>
      </xdr:spPr>
    </xdr:pic>
    <xdr:clientData/>
  </xdr:twoCellAnchor>
  <xdr:twoCellAnchor>
    <xdr:from>
      <xdr:col>12</xdr:col>
      <xdr:colOff>445477</xdr:colOff>
      <xdr:row>80</xdr:row>
      <xdr:rowOff>22677</xdr:rowOff>
    </xdr:from>
    <xdr:to>
      <xdr:col>12</xdr:col>
      <xdr:colOff>877477</xdr:colOff>
      <xdr:row>80</xdr:row>
      <xdr:rowOff>445152</xdr:rowOff>
    </xdr:to>
    <xdr:pic>
      <xdr:nvPicPr>
        <xdr:cNvPr id="7" name="Picture 6">
          <a:extLst>
            <a:ext uri="{FF2B5EF4-FFF2-40B4-BE49-F238E27FC236}">
              <a16:creationId xmlns:a16="http://schemas.microsoft.com/office/drawing/2014/main" id="{468397D0-1848-400E-8F4B-866A93F2331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5654333"/>
          <a:ext cx="432000" cy="422475"/>
        </a:xfrm>
        <a:prstGeom prst="rect">
          <a:avLst/>
        </a:prstGeom>
        <a:noFill/>
      </xdr:spPr>
    </xdr:pic>
    <xdr:clientData/>
  </xdr:twoCellAnchor>
  <xdr:twoCellAnchor>
    <xdr:from>
      <xdr:col>12</xdr:col>
      <xdr:colOff>445477</xdr:colOff>
      <xdr:row>81</xdr:row>
      <xdr:rowOff>22677</xdr:rowOff>
    </xdr:from>
    <xdr:to>
      <xdr:col>12</xdr:col>
      <xdr:colOff>877477</xdr:colOff>
      <xdr:row>81</xdr:row>
      <xdr:rowOff>445152</xdr:rowOff>
    </xdr:to>
    <xdr:pic>
      <xdr:nvPicPr>
        <xdr:cNvPr id="8" name="Picture 7">
          <a:extLst>
            <a:ext uri="{FF2B5EF4-FFF2-40B4-BE49-F238E27FC236}">
              <a16:creationId xmlns:a16="http://schemas.microsoft.com/office/drawing/2014/main" id="{C1931A9C-F21F-42FA-ADD2-EDC46DA6BEB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6106771"/>
          <a:ext cx="432000" cy="422475"/>
        </a:xfrm>
        <a:prstGeom prst="rect">
          <a:avLst/>
        </a:prstGeom>
        <a:noFill/>
      </xdr:spPr>
    </xdr:pic>
    <xdr:clientData/>
  </xdr:twoCellAnchor>
  <xdr:twoCellAnchor>
    <xdr:from>
      <xdr:col>12</xdr:col>
      <xdr:colOff>445477</xdr:colOff>
      <xdr:row>101</xdr:row>
      <xdr:rowOff>22677</xdr:rowOff>
    </xdr:from>
    <xdr:to>
      <xdr:col>12</xdr:col>
      <xdr:colOff>877477</xdr:colOff>
      <xdr:row>101</xdr:row>
      <xdr:rowOff>445152</xdr:rowOff>
    </xdr:to>
    <xdr:pic>
      <xdr:nvPicPr>
        <xdr:cNvPr id="9" name="Picture 8">
          <a:extLst>
            <a:ext uri="{FF2B5EF4-FFF2-40B4-BE49-F238E27FC236}">
              <a16:creationId xmlns:a16="http://schemas.microsoft.com/office/drawing/2014/main" id="{7ABE8C7B-ED18-4542-8E27-8A4BC6AFE037}"/>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5654333"/>
          <a:ext cx="432000" cy="422475"/>
        </a:xfrm>
        <a:prstGeom prst="rect">
          <a:avLst/>
        </a:prstGeom>
        <a:noFill/>
      </xdr:spPr>
    </xdr:pic>
    <xdr:clientData/>
  </xdr:twoCellAnchor>
  <xdr:twoCellAnchor>
    <xdr:from>
      <xdr:col>12</xdr:col>
      <xdr:colOff>445477</xdr:colOff>
      <xdr:row>102</xdr:row>
      <xdr:rowOff>22677</xdr:rowOff>
    </xdr:from>
    <xdr:to>
      <xdr:col>12</xdr:col>
      <xdr:colOff>877477</xdr:colOff>
      <xdr:row>102</xdr:row>
      <xdr:rowOff>445152</xdr:rowOff>
    </xdr:to>
    <xdr:pic>
      <xdr:nvPicPr>
        <xdr:cNvPr id="10" name="Picture 9">
          <a:extLst>
            <a:ext uri="{FF2B5EF4-FFF2-40B4-BE49-F238E27FC236}">
              <a16:creationId xmlns:a16="http://schemas.microsoft.com/office/drawing/2014/main" id="{DCE6BDD8-0A3B-4CF3-9AB7-9B4B4F941D0B}"/>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6106771"/>
          <a:ext cx="432000" cy="422475"/>
        </a:xfrm>
        <a:prstGeom prst="rect">
          <a:avLst/>
        </a:prstGeom>
        <a:noFill/>
      </xdr:spPr>
    </xdr:pic>
    <xdr:clientData/>
  </xdr:twoCellAnchor>
  <xdr:twoCellAnchor>
    <xdr:from>
      <xdr:col>12</xdr:col>
      <xdr:colOff>445477</xdr:colOff>
      <xdr:row>122</xdr:row>
      <xdr:rowOff>22677</xdr:rowOff>
    </xdr:from>
    <xdr:to>
      <xdr:col>12</xdr:col>
      <xdr:colOff>877477</xdr:colOff>
      <xdr:row>122</xdr:row>
      <xdr:rowOff>445152</xdr:rowOff>
    </xdr:to>
    <xdr:pic>
      <xdr:nvPicPr>
        <xdr:cNvPr id="11" name="Picture 10">
          <a:extLst>
            <a:ext uri="{FF2B5EF4-FFF2-40B4-BE49-F238E27FC236}">
              <a16:creationId xmlns:a16="http://schemas.microsoft.com/office/drawing/2014/main" id="{378946E9-06DD-422E-B578-5C6E4E117B6C}"/>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5654333"/>
          <a:ext cx="432000" cy="422475"/>
        </a:xfrm>
        <a:prstGeom prst="rect">
          <a:avLst/>
        </a:prstGeom>
        <a:noFill/>
      </xdr:spPr>
    </xdr:pic>
    <xdr:clientData/>
  </xdr:twoCellAnchor>
  <xdr:twoCellAnchor>
    <xdr:from>
      <xdr:col>12</xdr:col>
      <xdr:colOff>445477</xdr:colOff>
      <xdr:row>123</xdr:row>
      <xdr:rowOff>22677</xdr:rowOff>
    </xdr:from>
    <xdr:to>
      <xdr:col>12</xdr:col>
      <xdr:colOff>877477</xdr:colOff>
      <xdr:row>123</xdr:row>
      <xdr:rowOff>445152</xdr:rowOff>
    </xdr:to>
    <xdr:pic>
      <xdr:nvPicPr>
        <xdr:cNvPr id="12" name="Picture 11">
          <a:extLst>
            <a:ext uri="{FF2B5EF4-FFF2-40B4-BE49-F238E27FC236}">
              <a16:creationId xmlns:a16="http://schemas.microsoft.com/office/drawing/2014/main" id="{9D3AE646-CB38-4788-AE6C-A342A9237F15}"/>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6106771"/>
          <a:ext cx="432000" cy="422475"/>
        </a:xfrm>
        <a:prstGeom prst="rect">
          <a:avLst/>
        </a:prstGeom>
        <a:noFill/>
      </xdr:spPr>
    </xdr:pic>
    <xdr:clientData/>
  </xdr:twoCellAnchor>
  <xdr:twoCellAnchor>
    <xdr:from>
      <xdr:col>12</xdr:col>
      <xdr:colOff>445477</xdr:colOff>
      <xdr:row>142</xdr:row>
      <xdr:rowOff>22677</xdr:rowOff>
    </xdr:from>
    <xdr:to>
      <xdr:col>12</xdr:col>
      <xdr:colOff>877477</xdr:colOff>
      <xdr:row>142</xdr:row>
      <xdr:rowOff>445152</xdr:rowOff>
    </xdr:to>
    <xdr:pic>
      <xdr:nvPicPr>
        <xdr:cNvPr id="13" name="Picture 12">
          <a:extLst>
            <a:ext uri="{FF2B5EF4-FFF2-40B4-BE49-F238E27FC236}">
              <a16:creationId xmlns:a16="http://schemas.microsoft.com/office/drawing/2014/main" id="{6FFE6C84-A80B-41FC-B2B0-D0543DCA911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5654333"/>
          <a:ext cx="432000" cy="422475"/>
        </a:xfrm>
        <a:prstGeom prst="rect">
          <a:avLst/>
        </a:prstGeom>
        <a:noFill/>
      </xdr:spPr>
    </xdr:pic>
    <xdr:clientData/>
  </xdr:twoCellAnchor>
  <xdr:twoCellAnchor>
    <xdr:from>
      <xdr:col>12</xdr:col>
      <xdr:colOff>445477</xdr:colOff>
      <xdr:row>143</xdr:row>
      <xdr:rowOff>22677</xdr:rowOff>
    </xdr:from>
    <xdr:to>
      <xdr:col>12</xdr:col>
      <xdr:colOff>877477</xdr:colOff>
      <xdr:row>143</xdr:row>
      <xdr:rowOff>445152</xdr:rowOff>
    </xdr:to>
    <xdr:pic>
      <xdr:nvPicPr>
        <xdr:cNvPr id="14" name="Picture 13">
          <a:extLst>
            <a:ext uri="{FF2B5EF4-FFF2-40B4-BE49-F238E27FC236}">
              <a16:creationId xmlns:a16="http://schemas.microsoft.com/office/drawing/2014/main" id="{44E4AD88-98BE-4524-A6AC-E9D4A97A20B3}"/>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6106771"/>
          <a:ext cx="432000" cy="422475"/>
        </a:xfrm>
        <a:prstGeom prst="rect">
          <a:avLst/>
        </a:prstGeom>
        <a:noFill/>
      </xdr:spPr>
    </xdr:pic>
    <xdr:clientData/>
  </xdr:twoCellAnchor>
  <xdr:twoCellAnchor>
    <xdr:from>
      <xdr:col>12</xdr:col>
      <xdr:colOff>445477</xdr:colOff>
      <xdr:row>160</xdr:row>
      <xdr:rowOff>22677</xdr:rowOff>
    </xdr:from>
    <xdr:to>
      <xdr:col>12</xdr:col>
      <xdr:colOff>877477</xdr:colOff>
      <xdr:row>160</xdr:row>
      <xdr:rowOff>445152</xdr:rowOff>
    </xdr:to>
    <xdr:pic>
      <xdr:nvPicPr>
        <xdr:cNvPr id="16" name="Picture 15">
          <a:extLst>
            <a:ext uri="{FF2B5EF4-FFF2-40B4-BE49-F238E27FC236}">
              <a16:creationId xmlns:a16="http://schemas.microsoft.com/office/drawing/2014/main" id="{2ECD198D-CECC-4C65-A495-24BAA5515CFD}"/>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6106771"/>
          <a:ext cx="432000" cy="422475"/>
        </a:xfrm>
        <a:prstGeom prst="rect">
          <a:avLst/>
        </a:prstGeom>
        <a:noFill/>
      </xdr:spPr>
    </xdr:pic>
    <xdr:clientData/>
  </xdr:twoCellAnchor>
  <xdr:twoCellAnchor>
    <xdr:from>
      <xdr:col>12</xdr:col>
      <xdr:colOff>442075</xdr:colOff>
      <xdr:row>176</xdr:row>
      <xdr:rowOff>12109</xdr:rowOff>
    </xdr:from>
    <xdr:to>
      <xdr:col>12</xdr:col>
      <xdr:colOff>874075</xdr:colOff>
      <xdr:row>176</xdr:row>
      <xdr:rowOff>444806</xdr:rowOff>
    </xdr:to>
    <xdr:pic>
      <xdr:nvPicPr>
        <xdr:cNvPr id="19" name="Picture 18">
          <a:extLst>
            <a:ext uri="{FF2B5EF4-FFF2-40B4-BE49-F238E27FC236}">
              <a16:creationId xmlns:a16="http://schemas.microsoft.com/office/drawing/2014/main" id="{E1EF91A0-1DDB-4492-8A77-43D32F545480}"/>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83606" y="72152078"/>
          <a:ext cx="432000" cy="432697"/>
        </a:xfrm>
        <a:prstGeom prst="rect">
          <a:avLst/>
        </a:prstGeom>
        <a:noFill/>
      </xdr:spPr>
    </xdr:pic>
    <xdr:clientData/>
  </xdr:twoCellAnchor>
  <xdr:twoCellAnchor>
    <xdr:from>
      <xdr:col>12</xdr:col>
      <xdr:colOff>445477</xdr:colOff>
      <xdr:row>175</xdr:row>
      <xdr:rowOff>22677</xdr:rowOff>
    </xdr:from>
    <xdr:to>
      <xdr:col>12</xdr:col>
      <xdr:colOff>877477</xdr:colOff>
      <xdr:row>175</xdr:row>
      <xdr:rowOff>445152</xdr:rowOff>
    </xdr:to>
    <xdr:pic>
      <xdr:nvPicPr>
        <xdr:cNvPr id="20" name="Picture 19">
          <a:extLst>
            <a:ext uri="{FF2B5EF4-FFF2-40B4-BE49-F238E27FC236}">
              <a16:creationId xmlns:a16="http://schemas.microsoft.com/office/drawing/2014/main" id="{E902401F-3753-4017-9305-1E8A68C3BC99}"/>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71710208"/>
          <a:ext cx="432000" cy="422475"/>
        </a:xfrm>
        <a:prstGeom prst="rect">
          <a:avLst/>
        </a:prstGeom>
        <a:noFill/>
      </xdr:spPr>
    </xdr:pic>
    <xdr:clientData/>
  </xdr:twoCellAnchor>
  <xdr:twoCellAnchor>
    <xdr:from>
      <xdr:col>12</xdr:col>
      <xdr:colOff>445477</xdr:colOff>
      <xdr:row>175</xdr:row>
      <xdr:rowOff>22677</xdr:rowOff>
    </xdr:from>
    <xdr:to>
      <xdr:col>12</xdr:col>
      <xdr:colOff>877477</xdr:colOff>
      <xdr:row>175</xdr:row>
      <xdr:rowOff>445152</xdr:rowOff>
    </xdr:to>
    <xdr:pic>
      <xdr:nvPicPr>
        <xdr:cNvPr id="21" name="Picture 20">
          <a:extLst>
            <a:ext uri="{FF2B5EF4-FFF2-40B4-BE49-F238E27FC236}">
              <a16:creationId xmlns:a16="http://schemas.microsoft.com/office/drawing/2014/main" id="{1A582CE4-9548-4B18-9C12-5ED1AEB72515}"/>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71710208"/>
          <a:ext cx="432000" cy="422475"/>
        </a:xfrm>
        <a:prstGeom prst="rect">
          <a:avLst/>
        </a:prstGeom>
        <a:noFill/>
      </xdr:spPr>
    </xdr:pic>
    <xdr:clientData/>
  </xdr:twoCellAnchor>
  <xdr:twoCellAnchor>
    <xdr:from>
      <xdr:col>12</xdr:col>
      <xdr:colOff>445477</xdr:colOff>
      <xdr:row>176</xdr:row>
      <xdr:rowOff>22677</xdr:rowOff>
    </xdr:from>
    <xdr:to>
      <xdr:col>12</xdr:col>
      <xdr:colOff>877477</xdr:colOff>
      <xdr:row>176</xdr:row>
      <xdr:rowOff>445152</xdr:rowOff>
    </xdr:to>
    <xdr:pic>
      <xdr:nvPicPr>
        <xdr:cNvPr id="22" name="Picture 21">
          <a:extLst>
            <a:ext uri="{FF2B5EF4-FFF2-40B4-BE49-F238E27FC236}">
              <a16:creationId xmlns:a16="http://schemas.microsoft.com/office/drawing/2014/main" id="{CDAC4DE5-673A-41BA-9DC1-7B8F09156BE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72162646"/>
          <a:ext cx="432000" cy="422475"/>
        </a:xfrm>
        <a:prstGeom prst="rect">
          <a:avLst/>
        </a:prstGeom>
        <a:noFill/>
      </xdr:spPr>
    </xdr:pic>
    <xdr:clientData/>
  </xdr:twoCellAnchor>
  <xdr:twoCellAnchor>
    <xdr:from>
      <xdr:col>12</xdr:col>
      <xdr:colOff>442075</xdr:colOff>
      <xdr:row>176</xdr:row>
      <xdr:rowOff>12109</xdr:rowOff>
    </xdr:from>
    <xdr:to>
      <xdr:col>12</xdr:col>
      <xdr:colOff>874075</xdr:colOff>
      <xdr:row>176</xdr:row>
      <xdr:rowOff>444806</xdr:rowOff>
    </xdr:to>
    <xdr:pic>
      <xdr:nvPicPr>
        <xdr:cNvPr id="23" name="Picture 22">
          <a:extLst>
            <a:ext uri="{FF2B5EF4-FFF2-40B4-BE49-F238E27FC236}">
              <a16:creationId xmlns:a16="http://schemas.microsoft.com/office/drawing/2014/main" id="{25693062-9E1F-42ED-BAF5-E72D608EFA77}"/>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83606" y="72152078"/>
          <a:ext cx="432000" cy="432697"/>
        </a:xfrm>
        <a:prstGeom prst="rect">
          <a:avLst/>
        </a:prstGeom>
        <a:noFill/>
      </xdr:spPr>
    </xdr:pic>
    <xdr:clientData/>
  </xdr:twoCellAnchor>
  <xdr:twoCellAnchor>
    <xdr:from>
      <xdr:col>12</xdr:col>
      <xdr:colOff>445477</xdr:colOff>
      <xdr:row>175</xdr:row>
      <xdr:rowOff>22677</xdr:rowOff>
    </xdr:from>
    <xdr:to>
      <xdr:col>12</xdr:col>
      <xdr:colOff>877477</xdr:colOff>
      <xdr:row>175</xdr:row>
      <xdr:rowOff>445152</xdr:rowOff>
    </xdr:to>
    <xdr:pic>
      <xdr:nvPicPr>
        <xdr:cNvPr id="24" name="Picture 23">
          <a:extLst>
            <a:ext uri="{FF2B5EF4-FFF2-40B4-BE49-F238E27FC236}">
              <a16:creationId xmlns:a16="http://schemas.microsoft.com/office/drawing/2014/main" id="{B1D93D19-9F1D-4533-8124-B1D209293EEC}"/>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71710208"/>
          <a:ext cx="432000" cy="422475"/>
        </a:xfrm>
        <a:prstGeom prst="rect">
          <a:avLst/>
        </a:prstGeom>
        <a:noFill/>
      </xdr:spPr>
    </xdr:pic>
    <xdr:clientData/>
  </xdr:twoCellAnchor>
  <xdr:twoCellAnchor>
    <xdr:from>
      <xdr:col>12</xdr:col>
      <xdr:colOff>445477</xdr:colOff>
      <xdr:row>176</xdr:row>
      <xdr:rowOff>22677</xdr:rowOff>
    </xdr:from>
    <xdr:to>
      <xdr:col>12</xdr:col>
      <xdr:colOff>877477</xdr:colOff>
      <xdr:row>176</xdr:row>
      <xdr:rowOff>445152</xdr:rowOff>
    </xdr:to>
    <xdr:pic>
      <xdr:nvPicPr>
        <xdr:cNvPr id="25" name="Picture 24">
          <a:extLst>
            <a:ext uri="{FF2B5EF4-FFF2-40B4-BE49-F238E27FC236}">
              <a16:creationId xmlns:a16="http://schemas.microsoft.com/office/drawing/2014/main" id="{6231AACB-D3A4-4350-96E6-2371604AA91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72162646"/>
          <a:ext cx="432000" cy="422475"/>
        </a:xfrm>
        <a:prstGeom prst="rect">
          <a:avLst/>
        </a:prstGeom>
        <a:noFill/>
      </xdr:spPr>
    </xdr:pic>
    <xdr:clientData/>
  </xdr:twoCellAnchor>
  <xdr:twoCellAnchor>
    <xdr:from>
      <xdr:col>12</xdr:col>
      <xdr:colOff>442075</xdr:colOff>
      <xdr:row>192</xdr:row>
      <xdr:rowOff>12109</xdr:rowOff>
    </xdr:from>
    <xdr:to>
      <xdr:col>12</xdr:col>
      <xdr:colOff>874075</xdr:colOff>
      <xdr:row>192</xdr:row>
      <xdr:rowOff>444806</xdr:rowOff>
    </xdr:to>
    <xdr:pic>
      <xdr:nvPicPr>
        <xdr:cNvPr id="26" name="Picture 25">
          <a:extLst>
            <a:ext uri="{FF2B5EF4-FFF2-40B4-BE49-F238E27FC236}">
              <a16:creationId xmlns:a16="http://schemas.microsoft.com/office/drawing/2014/main" id="{B5529A23-B871-48FB-B86D-664C0BDB8373}"/>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83606" y="72152078"/>
          <a:ext cx="432000" cy="432697"/>
        </a:xfrm>
        <a:prstGeom prst="rect">
          <a:avLst/>
        </a:prstGeom>
        <a:noFill/>
      </xdr:spPr>
    </xdr:pic>
    <xdr:clientData/>
  </xdr:twoCellAnchor>
  <xdr:twoCellAnchor>
    <xdr:from>
      <xdr:col>12</xdr:col>
      <xdr:colOff>445477</xdr:colOff>
      <xdr:row>191</xdr:row>
      <xdr:rowOff>22677</xdr:rowOff>
    </xdr:from>
    <xdr:to>
      <xdr:col>12</xdr:col>
      <xdr:colOff>877477</xdr:colOff>
      <xdr:row>191</xdr:row>
      <xdr:rowOff>445152</xdr:rowOff>
    </xdr:to>
    <xdr:pic>
      <xdr:nvPicPr>
        <xdr:cNvPr id="27" name="Picture 26">
          <a:extLst>
            <a:ext uri="{FF2B5EF4-FFF2-40B4-BE49-F238E27FC236}">
              <a16:creationId xmlns:a16="http://schemas.microsoft.com/office/drawing/2014/main" id="{B0D926A2-AEAB-4C06-9035-60CD600E4476}"/>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71710208"/>
          <a:ext cx="432000" cy="422475"/>
        </a:xfrm>
        <a:prstGeom prst="rect">
          <a:avLst/>
        </a:prstGeom>
        <a:noFill/>
      </xdr:spPr>
    </xdr:pic>
    <xdr:clientData/>
  </xdr:twoCellAnchor>
  <xdr:twoCellAnchor>
    <xdr:from>
      <xdr:col>12</xdr:col>
      <xdr:colOff>445477</xdr:colOff>
      <xdr:row>192</xdr:row>
      <xdr:rowOff>22677</xdr:rowOff>
    </xdr:from>
    <xdr:to>
      <xdr:col>12</xdr:col>
      <xdr:colOff>877477</xdr:colOff>
      <xdr:row>192</xdr:row>
      <xdr:rowOff>445152</xdr:rowOff>
    </xdr:to>
    <xdr:pic>
      <xdr:nvPicPr>
        <xdr:cNvPr id="28" name="Picture 27">
          <a:extLst>
            <a:ext uri="{FF2B5EF4-FFF2-40B4-BE49-F238E27FC236}">
              <a16:creationId xmlns:a16="http://schemas.microsoft.com/office/drawing/2014/main" id="{2E8E1663-1E65-4CFB-A65D-196E1900A0B6}"/>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72162646"/>
          <a:ext cx="432000" cy="422475"/>
        </a:xfrm>
        <a:prstGeom prst="rect">
          <a:avLst/>
        </a:prstGeom>
        <a:noFill/>
      </xdr:spPr>
    </xdr:pic>
    <xdr:clientData/>
  </xdr:twoCellAnchor>
  <xdr:twoCellAnchor>
    <xdr:from>
      <xdr:col>12</xdr:col>
      <xdr:colOff>442075</xdr:colOff>
      <xdr:row>208</xdr:row>
      <xdr:rowOff>12109</xdr:rowOff>
    </xdr:from>
    <xdr:to>
      <xdr:col>12</xdr:col>
      <xdr:colOff>874075</xdr:colOff>
      <xdr:row>208</xdr:row>
      <xdr:rowOff>444806</xdr:rowOff>
    </xdr:to>
    <xdr:pic>
      <xdr:nvPicPr>
        <xdr:cNvPr id="29" name="Picture 28">
          <a:extLst>
            <a:ext uri="{FF2B5EF4-FFF2-40B4-BE49-F238E27FC236}">
              <a16:creationId xmlns:a16="http://schemas.microsoft.com/office/drawing/2014/main" id="{ECA2AF9B-D38B-4519-8595-E30B347F961B}"/>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83606" y="86630078"/>
          <a:ext cx="432000" cy="432697"/>
        </a:xfrm>
        <a:prstGeom prst="rect">
          <a:avLst/>
        </a:prstGeom>
        <a:noFill/>
      </xdr:spPr>
    </xdr:pic>
    <xdr:clientData/>
  </xdr:twoCellAnchor>
  <xdr:twoCellAnchor>
    <xdr:from>
      <xdr:col>12</xdr:col>
      <xdr:colOff>445477</xdr:colOff>
      <xdr:row>207</xdr:row>
      <xdr:rowOff>22677</xdr:rowOff>
    </xdr:from>
    <xdr:to>
      <xdr:col>12</xdr:col>
      <xdr:colOff>877477</xdr:colOff>
      <xdr:row>207</xdr:row>
      <xdr:rowOff>445152</xdr:rowOff>
    </xdr:to>
    <xdr:pic>
      <xdr:nvPicPr>
        <xdr:cNvPr id="30" name="Picture 29">
          <a:extLst>
            <a:ext uri="{FF2B5EF4-FFF2-40B4-BE49-F238E27FC236}">
              <a16:creationId xmlns:a16="http://schemas.microsoft.com/office/drawing/2014/main" id="{89815785-3F35-4F91-BF80-836689536E38}"/>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86188208"/>
          <a:ext cx="432000" cy="422475"/>
        </a:xfrm>
        <a:prstGeom prst="rect">
          <a:avLst/>
        </a:prstGeom>
        <a:noFill/>
      </xdr:spPr>
    </xdr:pic>
    <xdr:clientData/>
  </xdr:twoCellAnchor>
  <xdr:twoCellAnchor>
    <xdr:from>
      <xdr:col>12</xdr:col>
      <xdr:colOff>442075</xdr:colOff>
      <xdr:row>208</xdr:row>
      <xdr:rowOff>12109</xdr:rowOff>
    </xdr:from>
    <xdr:to>
      <xdr:col>12</xdr:col>
      <xdr:colOff>874075</xdr:colOff>
      <xdr:row>208</xdr:row>
      <xdr:rowOff>444806</xdr:rowOff>
    </xdr:to>
    <xdr:pic>
      <xdr:nvPicPr>
        <xdr:cNvPr id="31" name="Picture 30">
          <a:extLst>
            <a:ext uri="{FF2B5EF4-FFF2-40B4-BE49-F238E27FC236}">
              <a16:creationId xmlns:a16="http://schemas.microsoft.com/office/drawing/2014/main" id="{0204AD01-84BC-4A67-BCD6-293D4D04B5F3}"/>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83606" y="86630078"/>
          <a:ext cx="432000" cy="432697"/>
        </a:xfrm>
        <a:prstGeom prst="rect">
          <a:avLst/>
        </a:prstGeom>
        <a:noFill/>
      </xdr:spPr>
    </xdr:pic>
    <xdr:clientData/>
  </xdr:twoCellAnchor>
  <xdr:twoCellAnchor>
    <xdr:from>
      <xdr:col>12</xdr:col>
      <xdr:colOff>445477</xdr:colOff>
      <xdr:row>207</xdr:row>
      <xdr:rowOff>22677</xdr:rowOff>
    </xdr:from>
    <xdr:to>
      <xdr:col>12</xdr:col>
      <xdr:colOff>877477</xdr:colOff>
      <xdr:row>207</xdr:row>
      <xdr:rowOff>445152</xdr:rowOff>
    </xdr:to>
    <xdr:pic>
      <xdr:nvPicPr>
        <xdr:cNvPr id="64" name="Picture 63">
          <a:extLst>
            <a:ext uri="{FF2B5EF4-FFF2-40B4-BE49-F238E27FC236}">
              <a16:creationId xmlns:a16="http://schemas.microsoft.com/office/drawing/2014/main" id="{0300F334-8262-474B-BBD6-583C62D8D97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86188208"/>
          <a:ext cx="432000" cy="422475"/>
        </a:xfrm>
        <a:prstGeom prst="rect">
          <a:avLst/>
        </a:prstGeom>
        <a:noFill/>
      </xdr:spPr>
    </xdr:pic>
    <xdr:clientData/>
  </xdr:twoCellAnchor>
  <xdr:twoCellAnchor>
    <xdr:from>
      <xdr:col>12</xdr:col>
      <xdr:colOff>445477</xdr:colOff>
      <xdr:row>208</xdr:row>
      <xdr:rowOff>22677</xdr:rowOff>
    </xdr:from>
    <xdr:to>
      <xdr:col>12</xdr:col>
      <xdr:colOff>877477</xdr:colOff>
      <xdr:row>208</xdr:row>
      <xdr:rowOff>445152</xdr:rowOff>
    </xdr:to>
    <xdr:pic>
      <xdr:nvPicPr>
        <xdr:cNvPr id="65" name="Picture 64">
          <a:extLst>
            <a:ext uri="{FF2B5EF4-FFF2-40B4-BE49-F238E27FC236}">
              <a16:creationId xmlns:a16="http://schemas.microsoft.com/office/drawing/2014/main" id="{439EE270-82D1-4A1A-9E84-B29D7BB757D3}"/>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86640646"/>
          <a:ext cx="432000" cy="422475"/>
        </a:xfrm>
        <a:prstGeom prst="rect">
          <a:avLst/>
        </a:prstGeom>
        <a:noFill/>
      </xdr:spPr>
    </xdr:pic>
    <xdr:clientData/>
  </xdr:twoCellAnchor>
  <xdr:twoCellAnchor>
    <xdr:from>
      <xdr:col>12</xdr:col>
      <xdr:colOff>442075</xdr:colOff>
      <xdr:row>222</xdr:row>
      <xdr:rowOff>12109</xdr:rowOff>
    </xdr:from>
    <xdr:to>
      <xdr:col>12</xdr:col>
      <xdr:colOff>874075</xdr:colOff>
      <xdr:row>222</xdr:row>
      <xdr:rowOff>444806</xdr:rowOff>
    </xdr:to>
    <xdr:pic>
      <xdr:nvPicPr>
        <xdr:cNvPr id="66" name="Picture 65">
          <a:extLst>
            <a:ext uri="{FF2B5EF4-FFF2-40B4-BE49-F238E27FC236}">
              <a16:creationId xmlns:a16="http://schemas.microsoft.com/office/drawing/2014/main" id="{5E9264D6-9CDA-4636-967C-78BC2DBF2699}"/>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83606" y="86630078"/>
          <a:ext cx="432000" cy="432697"/>
        </a:xfrm>
        <a:prstGeom prst="rect">
          <a:avLst/>
        </a:prstGeom>
        <a:noFill/>
      </xdr:spPr>
    </xdr:pic>
    <xdr:clientData/>
  </xdr:twoCellAnchor>
  <xdr:twoCellAnchor>
    <xdr:from>
      <xdr:col>12</xdr:col>
      <xdr:colOff>445477</xdr:colOff>
      <xdr:row>221</xdr:row>
      <xdr:rowOff>22677</xdr:rowOff>
    </xdr:from>
    <xdr:to>
      <xdr:col>12</xdr:col>
      <xdr:colOff>877477</xdr:colOff>
      <xdr:row>221</xdr:row>
      <xdr:rowOff>445152</xdr:rowOff>
    </xdr:to>
    <xdr:pic>
      <xdr:nvPicPr>
        <xdr:cNvPr id="67" name="Picture 66">
          <a:extLst>
            <a:ext uri="{FF2B5EF4-FFF2-40B4-BE49-F238E27FC236}">
              <a16:creationId xmlns:a16="http://schemas.microsoft.com/office/drawing/2014/main" id="{08A65C1F-637F-400C-844D-D21C66DA5D12}"/>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86188208"/>
          <a:ext cx="432000" cy="422475"/>
        </a:xfrm>
        <a:prstGeom prst="rect">
          <a:avLst/>
        </a:prstGeom>
        <a:noFill/>
      </xdr:spPr>
    </xdr:pic>
    <xdr:clientData/>
  </xdr:twoCellAnchor>
  <xdr:twoCellAnchor>
    <xdr:from>
      <xdr:col>12</xdr:col>
      <xdr:colOff>442075</xdr:colOff>
      <xdr:row>222</xdr:row>
      <xdr:rowOff>12109</xdr:rowOff>
    </xdr:from>
    <xdr:to>
      <xdr:col>12</xdr:col>
      <xdr:colOff>874075</xdr:colOff>
      <xdr:row>222</xdr:row>
      <xdr:rowOff>444806</xdr:rowOff>
    </xdr:to>
    <xdr:pic>
      <xdr:nvPicPr>
        <xdr:cNvPr id="93" name="Picture 92">
          <a:extLst>
            <a:ext uri="{FF2B5EF4-FFF2-40B4-BE49-F238E27FC236}">
              <a16:creationId xmlns:a16="http://schemas.microsoft.com/office/drawing/2014/main" id="{5C24E361-3C7F-4A75-AC72-1F04139CBC50}"/>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83606" y="86630078"/>
          <a:ext cx="432000" cy="432697"/>
        </a:xfrm>
        <a:prstGeom prst="rect">
          <a:avLst/>
        </a:prstGeom>
        <a:noFill/>
      </xdr:spPr>
    </xdr:pic>
    <xdr:clientData/>
  </xdr:twoCellAnchor>
  <xdr:twoCellAnchor>
    <xdr:from>
      <xdr:col>12</xdr:col>
      <xdr:colOff>445477</xdr:colOff>
      <xdr:row>221</xdr:row>
      <xdr:rowOff>22677</xdr:rowOff>
    </xdr:from>
    <xdr:to>
      <xdr:col>12</xdr:col>
      <xdr:colOff>877477</xdr:colOff>
      <xdr:row>221</xdr:row>
      <xdr:rowOff>445152</xdr:rowOff>
    </xdr:to>
    <xdr:pic>
      <xdr:nvPicPr>
        <xdr:cNvPr id="94" name="Picture 93">
          <a:extLst>
            <a:ext uri="{FF2B5EF4-FFF2-40B4-BE49-F238E27FC236}">
              <a16:creationId xmlns:a16="http://schemas.microsoft.com/office/drawing/2014/main" id="{B4133935-89D1-48E1-ABA8-2329AADBA8ED}"/>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86188208"/>
          <a:ext cx="432000" cy="422475"/>
        </a:xfrm>
        <a:prstGeom prst="rect">
          <a:avLst/>
        </a:prstGeom>
        <a:noFill/>
      </xdr:spPr>
    </xdr:pic>
    <xdr:clientData/>
  </xdr:twoCellAnchor>
  <xdr:twoCellAnchor>
    <xdr:from>
      <xdr:col>12</xdr:col>
      <xdr:colOff>445477</xdr:colOff>
      <xdr:row>222</xdr:row>
      <xdr:rowOff>22677</xdr:rowOff>
    </xdr:from>
    <xdr:to>
      <xdr:col>12</xdr:col>
      <xdr:colOff>877477</xdr:colOff>
      <xdr:row>222</xdr:row>
      <xdr:rowOff>445152</xdr:rowOff>
    </xdr:to>
    <xdr:pic>
      <xdr:nvPicPr>
        <xdr:cNvPr id="95" name="Picture 94">
          <a:extLst>
            <a:ext uri="{FF2B5EF4-FFF2-40B4-BE49-F238E27FC236}">
              <a16:creationId xmlns:a16="http://schemas.microsoft.com/office/drawing/2014/main" id="{36639A30-83ED-4F70-A243-F097ABBECBD3}"/>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86640646"/>
          <a:ext cx="432000" cy="422475"/>
        </a:xfrm>
        <a:prstGeom prst="rect">
          <a:avLst/>
        </a:prstGeom>
        <a:noFill/>
      </xdr:spPr>
    </xdr:pic>
    <xdr:clientData/>
  </xdr:twoCellAnchor>
  <xdr:twoCellAnchor>
    <xdr:from>
      <xdr:col>12</xdr:col>
      <xdr:colOff>442075</xdr:colOff>
      <xdr:row>236</xdr:row>
      <xdr:rowOff>12109</xdr:rowOff>
    </xdr:from>
    <xdr:to>
      <xdr:col>12</xdr:col>
      <xdr:colOff>874075</xdr:colOff>
      <xdr:row>236</xdr:row>
      <xdr:rowOff>444806</xdr:rowOff>
    </xdr:to>
    <xdr:pic>
      <xdr:nvPicPr>
        <xdr:cNvPr id="192" name="Picture 191">
          <a:extLst>
            <a:ext uri="{FF2B5EF4-FFF2-40B4-BE49-F238E27FC236}">
              <a16:creationId xmlns:a16="http://schemas.microsoft.com/office/drawing/2014/main" id="{F818DFB7-ABEC-4BE3-9135-0E81896E8C0B}"/>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83606" y="86630078"/>
          <a:ext cx="432000" cy="432697"/>
        </a:xfrm>
        <a:prstGeom prst="rect">
          <a:avLst/>
        </a:prstGeom>
        <a:noFill/>
      </xdr:spPr>
    </xdr:pic>
    <xdr:clientData/>
  </xdr:twoCellAnchor>
  <xdr:twoCellAnchor>
    <xdr:from>
      <xdr:col>12</xdr:col>
      <xdr:colOff>445477</xdr:colOff>
      <xdr:row>235</xdr:row>
      <xdr:rowOff>22677</xdr:rowOff>
    </xdr:from>
    <xdr:to>
      <xdr:col>12</xdr:col>
      <xdr:colOff>877477</xdr:colOff>
      <xdr:row>235</xdr:row>
      <xdr:rowOff>445152</xdr:rowOff>
    </xdr:to>
    <xdr:pic>
      <xdr:nvPicPr>
        <xdr:cNvPr id="193" name="Picture 192">
          <a:extLst>
            <a:ext uri="{FF2B5EF4-FFF2-40B4-BE49-F238E27FC236}">
              <a16:creationId xmlns:a16="http://schemas.microsoft.com/office/drawing/2014/main" id="{7302C510-676A-44D7-B2C3-9B6CFB5D17B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86188208"/>
          <a:ext cx="432000" cy="422475"/>
        </a:xfrm>
        <a:prstGeom prst="rect">
          <a:avLst/>
        </a:prstGeom>
        <a:noFill/>
      </xdr:spPr>
    </xdr:pic>
    <xdr:clientData/>
  </xdr:twoCellAnchor>
  <xdr:twoCellAnchor>
    <xdr:from>
      <xdr:col>12</xdr:col>
      <xdr:colOff>442075</xdr:colOff>
      <xdr:row>236</xdr:row>
      <xdr:rowOff>12109</xdr:rowOff>
    </xdr:from>
    <xdr:to>
      <xdr:col>12</xdr:col>
      <xdr:colOff>874075</xdr:colOff>
      <xdr:row>236</xdr:row>
      <xdr:rowOff>444806</xdr:rowOff>
    </xdr:to>
    <xdr:pic>
      <xdr:nvPicPr>
        <xdr:cNvPr id="194" name="Picture 193">
          <a:extLst>
            <a:ext uri="{FF2B5EF4-FFF2-40B4-BE49-F238E27FC236}">
              <a16:creationId xmlns:a16="http://schemas.microsoft.com/office/drawing/2014/main" id="{F4DA0FD6-9AFF-41E8-B10F-2F52AD3DE6C3}"/>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7586" t="7558" r="6373" b="8421"/>
        <a:stretch/>
      </xdr:blipFill>
      <xdr:spPr bwMode="auto">
        <a:xfrm>
          <a:off x="8883606" y="86630078"/>
          <a:ext cx="432000" cy="432697"/>
        </a:xfrm>
        <a:prstGeom prst="rect">
          <a:avLst/>
        </a:prstGeom>
        <a:noFill/>
      </xdr:spPr>
    </xdr:pic>
    <xdr:clientData/>
  </xdr:twoCellAnchor>
  <xdr:twoCellAnchor>
    <xdr:from>
      <xdr:col>12</xdr:col>
      <xdr:colOff>445477</xdr:colOff>
      <xdr:row>235</xdr:row>
      <xdr:rowOff>22677</xdr:rowOff>
    </xdr:from>
    <xdr:to>
      <xdr:col>12</xdr:col>
      <xdr:colOff>877477</xdr:colOff>
      <xdr:row>235</xdr:row>
      <xdr:rowOff>445152</xdr:rowOff>
    </xdr:to>
    <xdr:pic>
      <xdr:nvPicPr>
        <xdr:cNvPr id="195" name="Picture 194">
          <a:extLst>
            <a:ext uri="{FF2B5EF4-FFF2-40B4-BE49-F238E27FC236}">
              <a16:creationId xmlns:a16="http://schemas.microsoft.com/office/drawing/2014/main" id="{E6E2B2EA-1D59-4E22-9604-B4349623B43B}"/>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86188208"/>
          <a:ext cx="432000" cy="422475"/>
        </a:xfrm>
        <a:prstGeom prst="rect">
          <a:avLst/>
        </a:prstGeom>
        <a:noFill/>
      </xdr:spPr>
    </xdr:pic>
    <xdr:clientData/>
  </xdr:twoCellAnchor>
  <xdr:twoCellAnchor>
    <xdr:from>
      <xdr:col>12</xdr:col>
      <xdr:colOff>445477</xdr:colOff>
      <xdr:row>236</xdr:row>
      <xdr:rowOff>22677</xdr:rowOff>
    </xdr:from>
    <xdr:to>
      <xdr:col>12</xdr:col>
      <xdr:colOff>877477</xdr:colOff>
      <xdr:row>236</xdr:row>
      <xdr:rowOff>445152</xdr:rowOff>
    </xdr:to>
    <xdr:pic>
      <xdr:nvPicPr>
        <xdr:cNvPr id="196" name="Picture 195">
          <a:extLst>
            <a:ext uri="{FF2B5EF4-FFF2-40B4-BE49-F238E27FC236}">
              <a16:creationId xmlns:a16="http://schemas.microsoft.com/office/drawing/2014/main" id="{3281A879-2A81-4D6C-85E3-08951FC8F146}"/>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86640646"/>
          <a:ext cx="432000" cy="422475"/>
        </a:xfrm>
        <a:prstGeom prst="rect">
          <a:avLst/>
        </a:prstGeom>
        <a:noFill/>
      </xdr:spPr>
    </xdr:pic>
    <xdr:clientData/>
  </xdr:twoCellAnchor>
  <xdr:twoCellAnchor>
    <xdr:from>
      <xdr:col>9</xdr:col>
      <xdr:colOff>445477</xdr:colOff>
      <xdr:row>249</xdr:row>
      <xdr:rowOff>22677</xdr:rowOff>
    </xdr:from>
    <xdr:to>
      <xdr:col>9</xdr:col>
      <xdr:colOff>877477</xdr:colOff>
      <xdr:row>249</xdr:row>
      <xdr:rowOff>445152</xdr:rowOff>
    </xdr:to>
    <xdr:pic>
      <xdr:nvPicPr>
        <xdr:cNvPr id="887" name="Picture 886">
          <a:extLst>
            <a:ext uri="{FF2B5EF4-FFF2-40B4-BE49-F238E27FC236}">
              <a16:creationId xmlns:a16="http://schemas.microsoft.com/office/drawing/2014/main" id="{6D27C642-4723-4907-A249-F7B1383EC643}"/>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106095458"/>
          <a:ext cx="432000" cy="422475"/>
        </a:xfrm>
        <a:prstGeom prst="rect">
          <a:avLst/>
        </a:prstGeom>
        <a:noFill/>
      </xdr:spPr>
    </xdr:pic>
    <xdr:clientData/>
  </xdr:twoCellAnchor>
  <xdr:twoCellAnchor>
    <xdr:from>
      <xdr:col>9</xdr:col>
      <xdr:colOff>445477</xdr:colOff>
      <xdr:row>249</xdr:row>
      <xdr:rowOff>22677</xdr:rowOff>
    </xdr:from>
    <xdr:to>
      <xdr:col>9</xdr:col>
      <xdr:colOff>877477</xdr:colOff>
      <xdr:row>249</xdr:row>
      <xdr:rowOff>445152</xdr:rowOff>
    </xdr:to>
    <xdr:pic>
      <xdr:nvPicPr>
        <xdr:cNvPr id="888" name="Picture 887">
          <a:extLst>
            <a:ext uri="{FF2B5EF4-FFF2-40B4-BE49-F238E27FC236}">
              <a16:creationId xmlns:a16="http://schemas.microsoft.com/office/drawing/2014/main" id="{2D2E1140-B3B6-4914-95FE-78883272FD54}"/>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106095458"/>
          <a:ext cx="432000" cy="422475"/>
        </a:xfrm>
        <a:prstGeom prst="rect">
          <a:avLst/>
        </a:prstGeom>
        <a:noFill/>
      </xdr:spPr>
    </xdr:pic>
    <xdr:clientData/>
  </xdr:twoCellAnchor>
  <xdr:twoCellAnchor>
    <xdr:from>
      <xdr:col>9</xdr:col>
      <xdr:colOff>445477</xdr:colOff>
      <xdr:row>249</xdr:row>
      <xdr:rowOff>22677</xdr:rowOff>
    </xdr:from>
    <xdr:to>
      <xdr:col>9</xdr:col>
      <xdr:colOff>877477</xdr:colOff>
      <xdr:row>249</xdr:row>
      <xdr:rowOff>445152</xdr:rowOff>
    </xdr:to>
    <xdr:pic>
      <xdr:nvPicPr>
        <xdr:cNvPr id="889" name="Picture 888">
          <a:extLst>
            <a:ext uri="{FF2B5EF4-FFF2-40B4-BE49-F238E27FC236}">
              <a16:creationId xmlns:a16="http://schemas.microsoft.com/office/drawing/2014/main" id="{22D3194A-4978-41B4-BDF0-FBA2D2A07D34}"/>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8887008" y="106095458"/>
          <a:ext cx="432000" cy="422475"/>
        </a:xfrm>
        <a:prstGeom prst="rect">
          <a:avLst/>
        </a:prstGeom>
        <a:noFill/>
      </xdr:spPr>
    </xdr:pic>
    <xdr:clientData/>
  </xdr:twoCellAnchor>
  <xdr:twoCellAnchor>
    <xdr:from>
      <xdr:col>9</xdr:col>
      <xdr:colOff>445477</xdr:colOff>
      <xdr:row>259</xdr:row>
      <xdr:rowOff>22677</xdr:rowOff>
    </xdr:from>
    <xdr:to>
      <xdr:col>9</xdr:col>
      <xdr:colOff>877477</xdr:colOff>
      <xdr:row>259</xdr:row>
      <xdr:rowOff>445152</xdr:rowOff>
    </xdr:to>
    <xdr:pic>
      <xdr:nvPicPr>
        <xdr:cNvPr id="937" name="Picture 936">
          <a:extLst>
            <a:ext uri="{FF2B5EF4-FFF2-40B4-BE49-F238E27FC236}">
              <a16:creationId xmlns:a16="http://schemas.microsoft.com/office/drawing/2014/main" id="{0809E6DE-A654-4E9D-8EA5-17284A76C4E9}"/>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twoCellAnchor>
    <xdr:from>
      <xdr:col>9</xdr:col>
      <xdr:colOff>445477</xdr:colOff>
      <xdr:row>260</xdr:row>
      <xdr:rowOff>22677</xdr:rowOff>
    </xdr:from>
    <xdr:to>
      <xdr:col>9</xdr:col>
      <xdr:colOff>877477</xdr:colOff>
      <xdr:row>260</xdr:row>
      <xdr:rowOff>445152</xdr:rowOff>
    </xdr:to>
    <xdr:pic>
      <xdr:nvPicPr>
        <xdr:cNvPr id="938" name="Picture 937">
          <a:extLst>
            <a:ext uri="{FF2B5EF4-FFF2-40B4-BE49-F238E27FC236}">
              <a16:creationId xmlns:a16="http://schemas.microsoft.com/office/drawing/2014/main" id="{5EC61A2A-C95B-4227-9857-8013DA226292}"/>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twoCellAnchor>
    <xdr:from>
      <xdr:col>9</xdr:col>
      <xdr:colOff>445477</xdr:colOff>
      <xdr:row>261</xdr:row>
      <xdr:rowOff>22677</xdr:rowOff>
    </xdr:from>
    <xdr:to>
      <xdr:col>9</xdr:col>
      <xdr:colOff>877477</xdr:colOff>
      <xdr:row>261</xdr:row>
      <xdr:rowOff>445152</xdr:rowOff>
    </xdr:to>
    <xdr:pic>
      <xdr:nvPicPr>
        <xdr:cNvPr id="939" name="Picture 938">
          <a:extLst>
            <a:ext uri="{FF2B5EF4-FFF2-40B4-BE49-F238E27FC236}">
              <a16:creationId xmlns:a16="http://schemas.microsoft.com/office/drawing/2014/main" id="{ED6EAE2D-C113-4EB6-961C-BE9C7804F0B0}"/>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twoCellAnchor>
    <xdr:from>
      <xdr:col>9</xdr:col>
      <xdr:colOff>445477</xdr:colOff>
      <xdr:row>262</xdr:row>
      <xdr:rowOff>22677</xdr:rowOff>
    </xdr:from>
    <xdr:to>
      <xdr:col>9</xdr:col>
      <xdr:colOff>877477</xdr:colOff>
      <xdr:row>262</xdr:row>
      <xdr:rowOff>445152</xdr:rowOff>
    </xdr:to>
    <xdr:pic>
      <xdr:nvPicPr>
        <xdr:cNvPr id="940" name="Picture 939">
          <a:extLst>
            <a:ext uri="{FF2B5EF4-FFF2-40B4-BE49-F238E27FC236}">
              <a16:creationId xmlns:a16="http://schemas.microsoft.com/office/drawing/2014/main" id="{45527224-F812-4D6C-8188-6B81CFA4DAD4}"/>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twoCellAnchor>
    <xdr:from>
      <xdr:col>9</xdr:col>
      <xdr:colOff>445477</xdr:colOff>
      <xdr:row>263</xdr:row>
      <xdr:rowOff>22677</xdr:rowOff>
    </xdr:from>
    <xdr:to>
      <xdr:col>9</xdr:col>
      <xdr:colOff>877477</xdr:colOff>
      <xdr:row>263</xdr:row>
      <xdr:rowOff>445152</xdr:rowOff>
    </xdr:to>
    <xdr:pic>
      <xdr:nvPicPr>
        <xdr:cNvPr id="941" name="Picture 940">
          <a:extLst>
            <a:ext uri="{FF2B5EF4-FFF2-40B4-BE49-F238E27FC236}">
              <a16:creationId xmlns:a16="http://schemas.microsoft.com/office/drawing/2014/main" id="{51334C83-311B-4C49-BA68-01A3A037A8E2}"/>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twoCellAnchor>
    <xdr:from>
      <xdr:col>9</xdr:col>
      <xdr:colOff>445477</xdr:colOff>
      <xdr:row>264</xdr:row>
      <xdr:rowOff>22677</xdr:rowOff>
    </xdr:from>
    <xdr:to>
      <xdr:col>9</xdr:col>
      <xdr:colOff>877477</xdr:colOff>
      <xdr:row>264</xdr:row>
      <xdr:rowOff>445152</xdr:rowOff>
    </xdr:to>
    <xdr:pic>
      <xdr:nvPicPr>
        <xdr:cNvPr id="942" name="Picture 941">
          <a:extLst>
            <a:ext uri="{FF2B5EF4-FFF2-40B4-BE49-F238E27FC236}">
              <a16:creationId xmlns:a16="http://schemas.microsoft.com/office/drawing/2014/main" id="{8E518CB1-2030-4A9D-87AD-EFD7D17D8E5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twoCellAnchor>
    <xdr:from>
      <xdr:col>9</xdr:col>
      <xdr:colOff>445477</xdr:colOff>
      <xdr:row>265</xdr:row>
      <xdr:rowOff>22677</xdr:rowOff>
    </xdr:from>
    <xdr:to>
      <xdr:col>9</xdr:col>
      <xdr:colOff>877477</xdr:colOff>
      <xdr:row>265</xdr:row>
      <xdr:rowOff>445152</xdr:rowOff>
    </xdr:to>
    <xdr:pic>
      <xdr:nvPicPr>
        <xdr:cNvPr id="943" name="Picture 942">
          <a:extLst>
            <a:ext uri="{FF2B5EF4-FFF2-40B4-BE49-F238E27FC236}">
              <a16:creationId xmlns:a16="http://schemas.microsoft.com/office/drawing/2014/main" id="{461CE892-DC86-4C77-A1C3-BEFA35B66AE3}"/>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twoCellAnchor>
    <xdr:from>
      <xdr:col>9</xdr:col>
      <xdr:colOff>445477</xdr:colOff>
      <xdr:row>266</xdr:row>
      <xdr:rowOff>22677</xdr:rowOff>
    </xdr:from>
    <xdr:to>
      <xdr:col>9</xdr:col>
      <xdr:colOff>877477</xdr:colOff>
      <xdr:row>266</xdr:row>
      <xdr:rowOff>445152</xdr:rowOff>
    </xdr:to>
    <xdr:pic>
      <xdr:nvPicPr>
        <xdr:cNvPr id="944" name="Picture 943">
          <a:extLst>
            <a:ext uri="{FF2B5EF4-FFF2-40B4-BE49-F238E27FC236}">
              <a16:creationId xmlns:a16="http://schemas.microsoft.com/office/drawing/2014/main" id="{C3D97C7C-9C53-4393-9CD8-FCF6CD352253}"/>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twoCellAnchor>
    <xdr:from>
      <xdr:col>9</xdr:col>
      <xdr:colOff>445477</xdr:colOff>
      <xdr:row>267</xdr:row>
      <xdr:rowOff>22677</xdr:rowOff>
    </xdr:from>
    <xdr:to>
      <xdr:col>9</xdr:col>
      <xdr:colOff>877477</xdr:colOff>
      <xdr:row>267</xdr:row>
      <xdr:rowOff>445152</xdr:rowOff>
    </xdr:to>
    <xdr:pic>
      <xdr:nvPicPr>
        <xdr:cNvPr id="945" name="Picture 944">
          <a:extLst>
            <a:ext uri="{FF2B5EF4-FFF2-40B4-BE49-F238E27FC236}">
              <a16:creationId xmlns:a16="http://schemas.microsoft.com/office/drawing/2014/main" id="{3267D497-9923-4873-AC5E-31740D364F6F}"/>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twoCellAnchor>
    <xdr:from>
      <xdr:col>9</xdr:col>
      <xdr:colOff>445477</xdr:colOff>
      <xdr:row>268</xdr:row>
      <xdr:rowOff>22677</xdr:rowOff>
    </xdr:from>
    <xdr:to>
      <xdr:col>9</xdr:col>
      <xdr:colOff>877477</xdr:colOff>
      <xdr:row>268</xdr:row>
      <xdr:rowOff>445152</xdr:rowOff>
    </xdr:to>
    <xdr:pic>
      <xdr:nvPicPr>
        <xdr:cNvPr id="946" name="Picture 945">
          <a:extLst>
            <a:ext uri="{FF2B5EF4-FFF2-40B4-BE49-F238E27FC236}">
              <a16:creationId xmlns:a16="http://schemas.microsoft.com/office/drawing/2014/main" id="{BEC54A25-1FBC-4380-9E17-652C538C9F47}"/>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5541352" y="116501521"/>
          <a:ext cx="432000" cy="422475"/>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2BE4-6C86-4C31-80E7-D141EC4F7AB9}">
  <dimension ref="B1:C60"/>
  <sheetViews>
    <sheetView tabSelected="1" workbookViewId="0">
      <selection activeCell="C1" sqref="C1"/>
    </sheetView>
  </sheetViews>
  <sheetFormatPr defaultRowHeight="15" x14ac:dyDescent="0.25"/>
  <cols>
    <col min="3" max="3" width="110" customWidth="1"/>
  </cols>
  <sheetData>
    <row r="1" spans="2:3" ht="15.75" x14ac:dyDescent="0.25">
      <c r="C1" s="34" t="s">
        <v>0</v>
      </c>
    </row>
    <row r="3" spans="2:3" x14ac:dyDescent="0.25">
      <c r="C3" t="s">
        <v>1</v>
      </c>
    </row>
    <row r="4" spans="2:3" x14ac:dyDescent="0.25">
      <c r="C4" t="s">
        <v>2</v>
      </c>
    </row>
    <row r="5" spans="2:3" x14ac:dyDescent="0.25">
      <c r="C5" t="s">
        <v>3</v>
      </c>
    </row>
    <row r="6" spans="2:3" x14ac:dyDescent="0.25">
      <c r="C6" t="s">
        <v>4</v>
      </c>
    </row>
    <row r="7" spans="2:3" x14ac:dyDescent="0.25">
      <c r="C7" t="s">
        <v>5</v>
      </c>
    </row>
    <row r="8" spans="2:3" x14ac:dyDescent="0.25">
      <c r="C8" t="s">
        <v>6</v>
      </c>
    </row>
    <row r="10" spans="2:3" x14ac:dyDescent="0.25">
      <c r="B10" s="2" t="s">
        <v>7</v>
      </c>
      <c r="C10" s="2" t="s">
        <v>8</v>
      </c>
    </row>
    <row r="11" spans="2:3" x14ac:dyDescent="0.25">
      <c r="C11" t="s">
        <v>9</v>
      </c>
    </row>
    <row r="12" spans="2:3" x14ac:dyDescent="0.25">
      <c r="C12" t="s">
        <v>10</v>
      </c>
    </row>
    <row r="13" spans="2:3" x14ac:dyDescent="0.25">
      <c r="C13" t="s">
        <v>11</v>
      </c>
    </row>
    <row r="14" spans="2:3" x14ac:dyDescent="0.25">
      <c r="C14" t="s">
        <v>12</v>
      </c>
    </row>
    <row r="15" spans="2:3" x14ac:dyDescent="0.25">
      <c r="C15" t="s">
        <v>13</v>
      </c>
    </row>
    <row r="16" spans="2:3" x14ac:dyDescent="0.25">
      <c r="C16" t="s">
        <v>14</v>
      </c>
    </row>
    <row r="17" spans="2:3" x14ac:dyDescent="0.25">
      <c r="C17" t="s">
        <v>15</v>
      </c>
    </row>
    <row r="19" spans="2:3" x14ac:dyDescent="0.25">
      <c r="B19" s="2" t="s">
        <v>16</v>
      </c>
      <c r="C19" s="2" t="s">
        <v>17</v>
      </c>
    </row>
    <row r="20" spans="2:3" x14ac:dyDescent="0.25">
      <c r="C20" t="s">
        <v>18</v>
      </c>
    </row>
    <row r="21" spans="2:3" x14ac:dyDescent="0.25">
      <c r="C21" t="s">
        <v>19</v>
      </c>
    </row>
    <row r="22" spans="2:3" x14ac:dyDescent="0.25">
      <c r="C22" t="s">
        <v>20</v>
      </c>
    </row>
    <row r="23" spans="2:3" x14ac:dyDescent="0.25">
      <c r="C23" t="s">
        <v>21</v>
      </c>
    </row>
    <row r="24" spans="2:3" x14ac:dyDescent="0.25">
      <c r="C24" t="s">
        <v>22</v>
      </c>
    </row>
    <row r="25" spans="2:3" x14ac:dyDescent="0.25">
      <c r="C25" t="s">
        <v>23</v>
      </c>
    </row>
    <row r="26" spans="2:3" x14ac:dyDescent="0.25">
      <c r="C26" t="s">
        <v>24</v>
      </c>
    </row>
    <row r="28" spans="2:3" x14ac:dyDescent="0.25">
      <c r="B28" s="2" t="s">
        <v>25</v>
      </c>
      <c r="C28" s="2" t="s">
        <v>26</v>
      </c>
    </row>
    <row r="29" spans="2:3" x14ac:dyDescent="0.25">
      <c r="C29" t="s">
        <v>27</v>
      </c>
    </row>
    <row r="30" spans="2:3" x14ac:dyDescent="0.25">
      <c r="C30" t="s">
        <v>28</v>
      </c>
    </row>
    <row r="31" spans="2:3" x14ac:dyDescent="0.25">
      <c r="C31" t="s">
        <v>29</v>
      </c>
    </row>
    <row r="32" spans="2:3" x14ac:dyDescent="0.25">
      <c r="C32" t="s">
        <v>30</v>
      </c>
    </row>
    <row r="33" spans="2:3" x14ac:dyDescent="0.25">
      <c r="C33" t="s">
        <v>31</v>
      </c>
    </row>
    <row r="34" spans="2:3" x14ac:dyDescent="0.25">
      <c r="C34" t="s">
        <v>32</v>
      </c>
    </row>
    <row r="35" spans="2:3" x14ac:dyDescent="0.25">
      <c r="C35" t="s">
        <v>33</v>
      </c>
    </row>
    <row r="36" spans="2:3" x14ac:dyDescent="0.25">
      <c r="C36" t="s">
        <v>34</v>
      </c>
    </row>
    <row r="37" spans="2:3" x14ac:dyDescent="0.25">
      <c r="C37" t="s">
        <v>35</v>
      </c>
    </row>
    <row r="39" spans="2:3" x14ac:dyDescent="0.25">
      <c r="B39" s="2" t="s">
        <v>36</v>
      </c>
      <c r="C39" s="2" t="s">
        <v>154</v>
      </c>
    </row>
    <row r="40" spans="2:3" x14ac:dyDescent="0.25">
      <c r="B40" s="2"/>
      <c r="C40" t="s">
        <v>301</v>
      </c>
    </row>
    <row r="41" spans="2:3" x14ac:dyDescent="0.25">
      <c r="B41" s="2"/>
      <c r="C41" t="s">
        <v>302</v>
      </c>
    </row>
    <row r="42" spans="2:3" x14ac:dyDescent="0.25">
      <c r="B42" s="2"/>
      <c r="C42" t="s">
        <v>300</v>
      </c>
    </row>
    <row r="44" spans="2:3" x14ac:dyDescent="0.25">
      <c r="B44" s="2" t="s">
        <v>44</v>
      </c>
      <c r="C44" s="2" t="s">
        <v>37</v>
      </c>
    </row>
    <row r="45" spans="2:3" x14ac:dyDescent="0.25">
      <c r="C45" t="s">
        <v>38</v>
      </c>
    </row>
    <row r="46" spans="2:3" x14ac:dyDescent="0.25">
      <c r="C46" t="s">
        <v>39</v>
      </c>
    </row>
    <row r="47" spans="2:3" x14ac:dyDescent="0.25">
      <c r="C47" t="s">
        <v>40</v>
      </c>
    </row>
    <row r="48" spans="2:3" x14ac:dyDescent="0.25">
      <c r="C48" t="s">
        <v>41</v>
      </c>
    </row>
    <row r="49" spans="2:3" x14ac:dyDescent="0.25">
      <c r="C49" t="s">
        <v>42</v>
      </c>
    </row>
    <row r="50" spans="2:3" x14ac:dyDescent="0.25">
      <c r="C50" t="s">
        <v>43</v>
      </c>
    </row>
    <row r="52" spans="2:3" x14ac:dyDescent="0.25">
      <c r="B52" s="2" t="s">
        <v>49</v>
      </c>
      <c r="C52" s="2" t="s">
        <v>45</v>
      </c>
    </row>
    <row r="53" spans="2:3" x14ac:dyDescent="0.25">
      <c r="C53" t="s">
        <v>46</v>
      </c>
    </row>
    <row r="54" spans="2:3" x14ac:dyDescent="0.25">
      <c r="C54" t="s">
        <v>47</v>
      </c>
    </row>
    <row r="55" spans="2:3" x14ac:dyDescent="0.25">
      <c r="C55" t="s">
        <v>48</v>
      </c>
    </row>
    <row r="57" spans="2:3" x14ac:dyDescent="0.25">
      <c r="B57" s="2" t="s">
        <v>299</v>
      </c>
      <c r="C57" s="2" t="s">
        <v>50</v>
      </c>
    </row>
    <row r="58" spans="2:3" x14ac:dyDescent="0.25">
      <c r="C58" t="s">
        <v>51</v>
      </c>
    </row>
    <row r="59" spans="2:3" x14ac:dyDescent="0.25">
      <c r="C59" t="s">
        <v>52</v>
      </c>
    </row>
    <row r="60" spans="2:3" x14ac:dyDescent="0.25">
      <c r="C60" t="s">
        <v>53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C6978-F06F-4209-9D11-4D4C2E40F95A}">
  <dimension ref="A1:AH561"/>
  <sheetViews>
    <sheetView zoomScaleNormal="100" workbookViewId="0">
      <pane xSplit="12" ySplit="3" topLeftCell="M4" activePane="bottomRight" state="frozen"/>
      <selection pane="topRight" activeCell="M1" sqref="M1"/>
      <selection pane="bottomLeft" activeCell="A4" sqref="A4"/>
      <selection pane="bottomRight" activeCell="L8" sqref="L8"/>
    </sheetView>
  </sheetViews>
  <sheetFormatPr defaultColWidth="9.140625" defaultRowHeight="15" x14ac:dyDescent="0.25"/>
  <cols>
    <col min="1" max="1" width="3.85546875" customWidth="1"/>
    <col min="2" max="2" width="9.140625" style="1" hidden="1" customWidth="1"/>
    <col min="3" max="3" width="6.5703125" style="1" hidden="1" customWidth="1"/>
    <col min="4" max="4" width="8.7109375" style="1" hidden="1" customWidth="1"/>
    <col min="5" max="5" width="5.5703125" style="1" hidden="1" customWidth="1"/>
    <col min="6" max="6" width="2.85546875" style="1" hidden="1" customWidth="1"/>
    <col min="7" max="7" width="3.5703125" style="1" hidden="1" customWidth="1"/>
    <col min="8" max="9" width="14.5703125" customWidth="1"/>
    <col min="10" max="10" width="12.5703125" customWidth="1"/>
    <col min="11" max="11" width="17.140625" customWidth="1"/>
    <col min="12" max="12" width="28.85546875" style="175" customWidth="1"/>
    <col min="13" max="13" width="44.42578125" style="175" customWidth="1"/>
    <col min="14" max="14" width="21.140625" style="177" customWidth="1"/>
    <col min="15" max="15" width="26" style="175" customWidth="1"/>
    <col min="16" max="16" width="22.5703125" style="175" customWidth="1"/>
    <col min="17" max="17" width="14.42578125" style="176" customWidth="1"/>
    <col min="18" max="18" width="14.42578125" style="177" customWidth="1"/>
    <col min="19" max="19" width="14.42578125" customWidth="1"/>
    <col min="20" max="20" width="6.140625" style="5" customWidth="1"/>
    <col min="21" max="21" width="31.5703125" style="175" customWidth="1"/>
    <col min="22" max="22" width="18.42578125" style="175" customWidth="1"/>
    <col min="23" max="25" width="42.5703125" style="175" customWidth="1"/>
    <col min="26" max="26" width="44.85546875" style="177" customWidth="1"/>
    <col min="27" max="28" width="6.42578125" hidden="1" customWidth="1"/>
    <col min="29" max="30" width="18.85546875" customWidth="1"/>
    <col min="31" max="33" width="17.5703125" customWidth="1"/>
    <col min="34" max="34" width="62.5703125" hidden="1" customWidth="1"/>
  </cols>
  <sheetData>
    <row r="1" spans="1:34" x14ac:dyDescent="0.25">
      <c r="B1" s="1">
        <v>1</v>
      </c>
      <c r="C1" s="174">
        <v>2</v>
      </c>
      <c r="D1" s="174">
        <v>3</v>
      </c>
      <c r="E1" s="174"/>
      <c r="H1" s="2"/>
      <c r="I1" s="2"/>
      <c r="J1" s="2"/>
      <c r="K1" s="2" t="s">
        <v>54</v>
      </c>
      <c r="N1" s="162" t="s">
        <v>55</v>
      </c>
      <c r="S1" s="5"/>
      <c r="W1" s="86"/>
      <c r="X1" s="86"/>
      <c r="AC1" t="s">
        <v>288</v>
      </c>
    </row>
    <row r="2" spans="1:34" x14ac:dyDescent="0.25">
      <c r="B2" s="1" t="s">
        <v>56</v>
      </c>
      <c r="C2" s="157" t="s">
        <v>57</v>
      </c>
      <c r="D2" s="157" t="s">
        <v>57</v>
      </c>
      <c r="E2" s="1" t="s">
        <v>58</v>
      </c>
      <c r="F2" s="1" t="s">
        <v>59</v>
      </c>
      <c r="G2" s="1" t="s">
        <v>60</v>
      </c>
      <c r="N2" s="177" t="s">
        <v>61</v>
      </c>
      <c r="O2" s="241" t="s">
        <v>62</v>
      </c>
      <c r="P2" s="239" t="s">
        <v>63</v>
      </c>
      <c r="Q2" s="163" t="s">
        <v>64</v>
      </c>
      <c r="R2" s="164"/>
      <c r="S2" s="131"/>
      <c r="T2" s="173"/>
      <c r="U2" s="158" t="s">
        <v>65</v>
      </c>
      <c r="AC2" s="242" t="s">
        <v>66</v>
      </c>
      <c r="AD2" s="243"/>
      <c r="AE2" s="243"/>
      <c r="AF2" s="243"/>
      <c r="AG2" s="244"/>
    </row>
    <row r="3" spans="1:34" x14ac:dyDescent="0.25">
      <c r="H3" s="132" t="s">
        <v>67</v>
      </c>
      <c r="I3" s="132" t="s">
        <v>68</v>
      </c>
      <c r="J3" s="132" t="s">
        <v>69</v>
      </c>
      <c r="K3" s="132" t="s">
        <v>59</v>
      </c>
      <c r="L3" s="160" t="s">
        <v>70</v>
      </c>
      <c r="M3" s="160" t="s">
        <v>71</v>
      </c>
      <c r="N3" s="165" t="s">
        <v>72</v>
      </c>
      <c r="O3" s="241"/>
      <c r="P3" s="240"/>
      <c r="Q3" s="163" t="s">
        <v>73</v>
      </c>
      <c r="R3" s="166" t="s">
        <v>74</v>
      </c>
      <c r="S3" s="28" t="s">
        <v>75</v>
      </c>
      <c r="T3" s="173" t="s">
        <v>76</v>
      </c>
      <c r="U3" s="159"/>
      <c r="V3" s="160" t="s">
        <v>77</v>
      </c>
      <c r="W3" s="160" t="s">
        <v>78</v>
      </c>
      <c r="X3" s="160" t="s">
        <v>79</v>
      </c>
      <c r="Y3" s="160" t="s">
        <v>80</v>
      </c>
      <c r="Z3" s="161" t="s">
        <v>81</v>
      </c>
      <c r="AA3" s="144" t="s">
        <v>82</v>
      </c>
      <c r="AB3" s="144" t="s">
        <v>83</v>
      </c>
      <c r="AC3" s="144" t="s">
        <v>84</v>
      </c>
      <c r="AD3" s="144" t="s">
        <v>287</v>
      </c>
      <c r="AE3" s="178" t="s">
        <v>85</v>
      </c>
      <c r="AF3" s="178" t="s">
        <v>86</v>
      </c>
      <c r="AG3" s="178" t="s">
        <v>87</v>
      </c>
      <c r="AH3" s="178" t="s">
        <v>59</v>
      </c>
    </row>
    <row r="4" spans="1:34" ht="105" x14ac:dyDescent="0.25">
      <c r="A4" s="5">
        <f>IF(LEFT(F4,15)='SOP template'!$B$1,1,"")</f>
        <v>1</v>
      </c>
      <c r="B4" s="179" t="str">
        <f>IF(ISBLANK($K4),CONCATENATE($B$2,".",TEXT(J4,"000"),".",$E4),CONCATENATE(RIGHT($K4,7),".1"))</f>
        <v>SOP.001.1</v>
      </c>
      <c r="C4" s="179" t="str">
        <f>IF(ISBLANK($K4),CONCATENATE(LEFT(#REF!,8),IF($E4=1,1.1,IF($E4=2,1.4,IF($E4=3,2,IF($E4=4,2.4,IF($E4=5,3,IF($E4=6,3.4,IF($E4=7,4,IF($E4=8,4.4,IF($E4=9,5,IF($E4=10,5.4,IF($E4=11,6,IF($E4=12,6.4,""))))))))))))),CONCATENATE(RIGHT($K4,7),".1"))</f>
        <v>SOP.001.1</v>
      </c>
      <c r="D4" s="179" t="str">
        <f>IF(ISBLANK($K4),CONCATENATE(LEFT($B3,8),IF($E4=1,1,IF($E4=2,1.3,IF($E4=3,1.5,IF($E4=4,2,IF($E4=5,2.3,IF($E4=6,2.5,IF($E4=7,3,IF($E4=8,3.3,IF($E4=9,3.5,IF($E4=10,4,IF($E4=11,4.3,IF($E4=12,4.5,""))))))))))))),CONCATENATE(RIGHT($K4,7),".1"))</f>
        <v>SOP.001.1</v>
      </c>
      <c r="E4" s="179">
        <f>IF(ISBLANK($K4),$E3+1,1)</f>
        <v>1</v>
      </c>
      <c r="F4" s="179" t="str">
        <f>K4&amp;"."&amp;TEXT(E4,"00")</f>
        <v>ALP.BSP.SOP.001.01</v>
      </c>
      <c r="G4" s="179" t="str">
        <f>IF(ISBLANK(N4),"",CONCATENATE(LEFT(F4,15),".",INDEX(Ref!A:A,MATCH(N4,Ref!$K$1:$K$333,0))))</f>
        <v>ALP.BSP.SOP.001.2</v>
      </c>
      <c r="H4" s="217" t="s">
        <v>394</v>
      </c>
      <c r="I4" s="217" t="s">
        <v>275</v>
      </c>
      <c r="J4" s="217">
        <v>1</v>
      </c>
      <c r="K4" s="181" t="str">
        <f>IFERROR(CONCATENATE(INDEX(Ref!$Z$2:$Z$8,MATCH(H4,Ref!$AA$2:$AA$8,0)),".",I4,".SOP.",TEXT(J4,"000")),CONCATENATE(H4,".",I4,".SOP.",TEXT(J4,"000")))</f>
        <v>ALP.BSP.SOP.001</v>
      </c>
      <c r="L4" s="367" t="s">
        <v>405</v>
      </c>
      <c r="M4" s="182" t="s">
        <v>406</v>
      </c>
      <c r="N4" s="183" t="s">
        <v>94</v>
      </c>
      <c r="O4" s="182" t="s">
        <v>411</v>
      </c>
      <c r="P4" s="182" t="s">
        <v>412</v>
      </c>
      <c r="Q4" s="184" t="s">
        <v>195</v>
      </c>
      <c r="R4" s="184" t="s">
        <v>188</v>
      </c>
      <c r="S4" s="185" t="str">
        <f>IFERROR(CLEAN(INDEX('Risk Matrix'!$H$7:$L$11,MATCH($Q4,'Risk Matrix'!$F$7:$F$11,0),MATCH($R4,'Risk Matrix'!$H$6:$L$6,0))),"")</f>
        <v>Medium 2</v>
      </c>
      <c r="T4" s="85">
        <f>IF(LEFT($B4,7)=RIGHT('SOP template'!$B$1,7),_xlfn.NUMBERVALUE(RIGHT($S4,2)),"")</f>
        <v>2</v>
      </c>
      <c r="U4" s="182" t="s">
        <v>419</v>
      </c>
      <c r="V4" s="182" t="s">
        <v>420</v>
      </c>
      <c r="W4" s="199" t="s">
        <v>421</v>
      </c>
      <c r="X4" s="199" t="s">
        <v>422</v>
      </c>
      <c r="Y4" s="182" t="s">
        <v>423</v>
      </c>
      <c r="Z4" s="182" t="s">
        <v>424</v>
      </c>
      <c r="AA4" s="186">
        <f>IFERROR(VLOOKUP(IFERROR(LEFT(S4,4),""),Ref!$AF$2:$AG$5,2,0),"")</f>
        <v>24</v>
      </c>
      <c r="AB4" s="186">
        <f>MIN($AA$4:$AA$21)</f>
        <v>24</v>
      </c>
      <c r="AC4" s="218" t="s">
        <v>289</v>
      </c>
      <c r="AD4" s="187" t="str">
        <f>IFERROR(VLOOKUP(AC4,'Training Matrix'!B$4:C$24,2,0),"")</f>
        <v>Dock Manager</v>
      </c>
      <c r="AE4" s="221">
        <v>45792</v>
      </c>
      <c r="AF4" s="188">
        <f t="shared" ref="AF4:AF7" si="0">IF(AE4="","",EDATE(AE4,AB$4))</f>
        <v>46522</v>
      </c>
      <c r="AG4" s="189" t="str">
        <f ca="1">IF(AE4="","",IF(TODAY()&gt;AF4,"Overdue","Current"))</f>
        <v>Current</v>
      </c>
      <c r="AH4" s="50" t="str">
        <f>IF(OR(AC4="",AE4=""),"",CONCATENATE(AC4,"_",K4,"_",L4))</f>
        <v>Person 1_ALP.BSP.SOP.001_Laboratory Entry and Exit</v>
      </c>
    </row>
    <row r="5" spans="1:34" ht="60" x14ac:dyDescent="0.25">
      <c r="A5" s="5">
        <f>IF(LEFT(F5,15)='SOP template'!$B$1,1,"")</f>
        <v>1</v>
      </c>
      <c r="B5" s="190" t="str">
        <f>CONCATENATE(LEFT(B4,8),E5)</f>
        <v>SOP.001.2</v>
      </c>
      <c r="C5" s="190" t="str">
        <f t="shared" ref="C5:C21" si="1">IF(ISBLANK($K5),CONCATENATE(LEFT($B4,8),IF($E5=1,1.1,IF($E5=2,1.4,IF($E5=3,2,IF($E5=4,2.4,IF($E5=5,3,IF($E5=6,3.4,IF($E5=7,4,IF($E5=8,4.4,IF($E5=9,5,IF($E5=10,5.4,IF($E5=11,6,IF($E5=12,6.4,""))))))))))))),CONCATENATE(RIGHT($K5,7),".1"))</f>
        <v>SOP.001.1.4</v>
      </c>
      <c r="D5" s="190" t="str">
        <f t="shared" ref="D5:D7" si="2">IF(ISBLANK($K5),CONCATENATE(LEFT($B4,8),IF($E5=1,1,IF($E5=2,1.3,IF($E5=3,1.5,IF($E5=4,2,IF($E5=5,2.3,IF($E5=6,2.5,IF($E5=7,3,IF($E5=8,3.3,IF($E5=9,3.5,IF($E5=10,4,IF($E5=11,4.3,IF($E5=12,4.5,""))))))))))))),CONCATENATE(RIGHT($K5,7),".1"))</f>
        <v>SOP.001.1.3</v>
      </c>
      <c r="E5" s="190">
        <f t="shared" ref="E5:E68" si="3">IF(ISBLANK($K5),$E4+1,1)</f>
        <v>2</v>
      </c>
      <c r="F5" s="190" t="str">
        <f>IF(K5=0,LEFT(F4,16)&amp;TEXT(E5,"00"),K5&amp;"."&amp;TEXT(E5,"00"))</f>
        <v>ALP.BSP.SOP.001.02</v>
      </c>
      <c r="G5" s="190" t="str">
        <f>IF(ISBLANK(N5),"",CONCATENATE(LEFT(F5,15),".",INDEX(Ref!A:A,MATCH(N5,Ref!$K$1:$K$333,0))))</f>
        <v>ALP.BSP.SOP.001.17</v>
      </c>
      <c r="H5" s="180"/>
      <c r="I5" s="180"/>
      <c r="J5" s="180"/>
      <c r="K5" s="181"/>
      <c r="L5" s="29"/>
      <c r="M5" s="29"/>
      <c r="N5" s="183" t="s">
        <v>130</v>
      </c>
      <c r="O5" s="182" t="s">
        <v>413</v>
      </c>
      <c r="P5" s="182" t="s">
        <v>414</v>
      </c>
      <c r="Q5" s="184" t="s">
        <v>89</v>
      </c>
      <c r="R5" s="184" t="s">
        <v>91</v>
      </c>
      <c r="S5" s="185" t="str">
        <f>IFERROR(CLEAN(INDEX('Risk Matrix'!$H$7:$L$11,MATCH($Q5,'Risk Matrix'!$F$7:$F$11,0),MATCH($R5,'Risk Matrix'!$H$6:$L$6,0))),"")</f>
        <v>Low 1</v>
      </c>
      <c r="T5" s="85">
        <f>IF(LEFT($B5,7)=RIGHT('SOP template'!$B$1,7),_xlfn.NUMBERVALUE(RIGHT($S5,2)),"")</f>
        <v>1</v>
      </c>
      <c r="U5" s="182" t="s">
        <v>425</v>
      </c>
      <c r="V5" s="182" t="s">
        <v>426</v>
      </c>
      <c r="W5" s="191" t="s">
        <v>427</v>
      </c>
      <c r="X5" s="182" t="s">
        <v>428</v>
      </c>
      <c r="Y5" s="182" t="s">
        <v>429</v>
      </c>
      <c r="Z5" s="182" t="s">
        <v>430</v>
      </c>
      <c r="AA5" s="186">
        <f>IFERROR(VLOOKUP(IFERROR(LEFT(S5,4),""),Ref!$AF$2:$AG$5,2,0),"")</f>
        <v>36</v>
      </c>
      <c r="AB5" s="186"/>
      <c r="AC5" s="218" t="s">
        <v>290</v>
      </c>
      <c r="AD5" s="187" t="str">
        <f>IFERROR(VLOOKUP(AC5,'Training Matrix'!B$4:C$24,2,0),"")</f>
        <v>WHS Team member</v>
      </c>
      <c r="AE5" s="221">
        <v>45792</v>
      </c>
      <c r="AF5" s="188">
        <f t="shared" si="0"/>
        <v>46522</v>
      </c>
      <c r="AG5" s="189" t="str">
        <f t="shared" ref="AG5:AG8" ca="1" si="4">IF(AE5="","",IF(TODAY()&gt;AF5,"Overdue","Current"))</f>
        <v>Current</v>
      </c>
      <c r="AH5" s="50" t="str">
        <f>IF(OR(AC5="",AE5=""),"",CONCATENATE(AC5,"_",K4,"_",L4))</f>
        <v>Person 2_ALP.BSP.SOP.001_Laboratory Entry and Exit</v>
      </c>
    </row>
    <row r="6" spans="1:34" ht="60" x14ac:dyDescent="0.25">
      <c r="A6" s="5">
        <f>IF(LEFT(F6,15)='SOP template'!$B$1,1,"")</f>
        <v>1</v>
      </c>
      <c r="B6" s="190" t="str">
        <f t="shared" ref="B6:B13" si="5">CONCATENATE(LEFT(B5,8),E6)</f>
        <v>SOP.001.3</v>
      </c>
      <c r="C6" s="190" t="str">
        <f t="shared" si="1"/>
        <v>SOP.001.2</v>
      </c>
      <c r="D6" s="190" t="str">
        <f t="shared" si="2"/>
        <v>SOP.001.1.5</v>
      </c>
      <c r="E6" s="190">
        <f t="shared" si="3"/>
        <v>3</v>
      </c>
      <c r="F6" s="190" t="str">
        <f t="shared" ref="F6:F12" si="6">IF(K6=0,LEFT(F5,16)&amp;TEXT(E6,"00"),K6&amp;"."&amp;TEXT(E6,"00"))</f>
        <v>ALP.BSP.SOP.001.03</v>
      </c>
      <c r="G6" s="190" t="str">
        <f>IF(ISBLANK(N6),"",CONCATENATE(LEFT(F6,15),".",INDEX(Ref!A:A,MATCH(N6,Ref!$K$1:$K$333,0))))</f>
        <v>ALP.BSP.SOP.001.2</v>
      </c>
      <c r="H6" s="180"/>
      <c r="I6" s="180"/>
      <c r="J6" s="180"/>
      <c r="K6" s="181"/>
      <c r="L6" s="29"/>
      <c r="M6" s="29"/>
      <c r="N6" s="183" t="s">
        <v>94</v>
      </c>
      <c r="O6" s="182" t="s">
        <v>415</v>
      </c>
      <c r="P6" s="182" t="s">
        <v>416</v>
      </c>
      <c r="Q6" s="184" t="s">
        <v>89</v>
      </c>
      <c r="R6" s="184" t="s">
        <v>188</v>
      </c>
      <c r="S6" s="185" t="str">
        <f>IFERROR(CLEAN(INDEX('Risk Matrix'!$H$7:$L$11,MATCH($Q6,'Risk Matrix'!$F$7:$F$11,0),MATCH($R6,'Risk Matrix'!$H$6:$L$6,0))),"")</f>
        <v>Low 1</v>
      </c>
      <c r="T6" s="85">
        <f>IF(LEFT($B6,7)=RIGHT('SOP template'!$B$1,7),_xlfn.NUMBERVALUE(RIGHT($S6,2)),"")</f>
        <v>1</v>
      </c>
      <c r="U6" s="182" t="s">
        <v>431</v>
      </c>
      <c r="V6" s="182" t="s">
        <v>432</v>
      </c>
      <c r="W6" s="199" t="s">
        <v>433</v>
      </c>
      <c r="X6" s="182" t="s">
        <v>434</v>
      </c>
      <c r="Y6" s="182" t="s">
        <v>435</v>
      </c>
      <c r="Z6" s="182" t="s">
        <v>436</v>
      </c>
      <c r="AA6" s="186">
        <f>IFERROR(VLOOKUP(IFERROR(LEFT(S6,4),""),Ref!$AF$2:$AG$5,2,0),"")</f>
        <v>36</v>
      </c>
      <c r="AB6" s="186"/>
      <c r="AC6" s="218" t="s">
        <v>167</v>
      </c>
      <c r="AD6" s="187" t="str">
        <f>IFERROR(VLOOKUP(AC6,'Training Matrix'!B$4:C$24,2,0),"")</f>
        <v>Bioscience Manager</v>
      </c>
      <c r="AE6" s="221">
        <v>45792</v>
      </c>
      <c r="AF6" s="188">
        <f t="shared" si="0"/>
        <v>46522</v>
      </c>
      <c r="AG6" s="189" t="str">
        <f t="shared" ca="1" si="4"/>
        <v>Current</v>
      </c>
      <c r="AH6" s="50" t="str">
        <f>IF(OR(AC6="",AE6=""),"",CONCATENATE(AC6,"_",K4,"_",L4))</f>
        <v>Person 3_ALP.BSP.SOP.001_Laboratory Entry and Exit</v>
      </c>
    </row>
    <row r="7" spans="1:34" ht="45" x14ac:dyDescent="0.25">
      <c r="A7" s="5">
        <f>IF(LEFT(F7,15)='SOP template'!$B$1,1,"")</f>
        <v>1</v>
      </c>
      <c r="B7" s="190" t="str">
        <f t="shared" si="5"/>
        <v>SOP.001.4</v>
      </c>
      <c r="C7" s="190" t="str">
        <f t="shared" si="1"/>
        <v>SOP.001.2.4</v>
      </c>
      <c r="D7" s="190" t="str">
        <f t="shared" si="2"/>
        <v>SOP.001.2</v>
      </c>
      <c r="E7" s="190">
        <f t="shared" si="3"/>
        <v>4</v>
      </c>
      <c r="F7" s="190" t="str">
        <f t="shared" si="6"/>
        <v>ALP.BSP.SOP.001.04</v>
      </c>
      <c r="G7" s="190" t="str">
        <f>IF(ISBLANK(N7),"",CONCATENATE(LEFT(F7,15),".",INDEX(Ref!A:A,MATCH(N7,Ref!$K$1:$K$333,0))))</f>
        <v>ALP.BSP.SOP.001.7</v>
      </c>
      <c r="H7" s="180"/>
      <c r="I7" s="180"/>
      <c r="J7" s="180"/>
      <c r="K7" s="181"/>
      <c r="L7" s="29"/>
      <c r="M7" s="29"/>
      <c r="N7" s="183" t="s">
        <v>88</v>
      </c>
      <c r="O7" s="182" t="s">
        <v>417</v>
      </c>
      <c r="P7" s="182" t="s">
        <v>418</v>
      </c>
      <c r="Q7" s="184" t="s">
        <v>89</v>
      </c>
      <c r="R7" s="184" t="s">
        <v>188</v>
      </c>
      <c r="S7" s="185" t="str">
        <f>IFERROR(CLEAN(INDEX('Risk Matrix'!$H$7:$L$11,MATCH($Q7,'Risk Matrix'!$F$7:$F$11,0),MATCH($R7,'Risk Matrix'!$H$6:$L$6,0))),"")</f>
        <v>Low 1</v>
      </c>
      <c r="T7" s="85">
        <f>IF(LEFT($B7,7)=RIGHT('SOP template'!$B$1,7),_xlfn.NUMBERVALUE(RIGHT($S7,2)),"")</f>
        <v>1</v>
      </c>
      <c r="U7" s="182" t="s">
        <v>437</v>
      </c>
      <c r="V7" s="182" t="s">
        <v>438</v>
      </c>
      <c r="W7" s="199"/>
      <c r="X7" s="182" t="s">
        <v>439</v>
      </c>
      <c r="Y7" s="182" t="s">
        <v>440</v>
      </c>
      <c r="Z7" s="182" t="s">
        <v>441</v>
      </c>
      <c r="AA7" s="186">
        <f>IFERROR(VLOOKUP(IFERROR(LEFT(S7,4),""),Ref!$AF$2:$AG$5,2,0),"")</f>
        <v>36</v>
      </c>
      <c r="AB7" s="186"/>
      <c r="AC7" s="218" t="s">
        <v>168</v>
      </c>
      <c r="AD7" s="187" t="str">
        <f>IFERROR(VLOOKUP(AC7,'Training Matrix'!B$4:C$24,2,0),"")</f>
        <v>Collection Manager</v>
      </c>
      <c r="AE7" s="221">
        <v>45792</v>
      </c>
      <c r="AF7" s="188">
        <f t="shared" si="0"/>
        <v>46522</v>
      </c>
      <c r="AG7" s="189" t="str">
        <f t="shared" ca="1" si="4"/>
        <v>Current</v>
      </c>
      <c r="AH7" s="50" t="str">
        <f>IF(OR(AC7="",AE7=""),"",CONCATENATE(AC7,"_",K4,"_",L4))</f>
        <v>Person 4_ALP.BSP.SOP.001_Laboratory Entry and Exit</v>
      </c>
    </row>
    <row r="8" spans="1:34" ht="60" x14ac:dyDescent="0.25">
      <c r="A8" s="5">
        <f>IF(LEFT(F8,15)='SOP template'!$B$1,1,"")</f>
        <v>1</v>
      </c>
      <c r="B8" s="190" t="str">
        <f t="shared" si="5"/>
        <v>SOP.001.5</v>
      </c>
      <c r="C8" s="190" t="str">
        <f t="shared" si="1"/>
        <v>SOP.001.3</v>
      </c>
      <c r="D8" s="190" t="str">
        <f t="shared" ref="D8:D21" si="7">IF(ISBLANK($K8),CONCATENATE(LEFT($B7,8),IF($E8=1,1,IF($E8=2,1.3,IF($E8=3,1.5,IF($E8=4,2,IF($E8=5,2.3,IF($E8=6,2.5,IF($E8=7,3,IF($E8=8,3.3,IF($E8=9,3.5,IF($E8=10,4,IF($E8=11,4.3,IF($E8=12,4.5,""))))))))))))),CONCATENATE(RIGHT($K8,7),".1"))</f>
        <v>SOP.001.2.3</v>
      </c>
      <c r="E8" s="190">
        <f t="shared" si="3"/>
        <v>5</v>
      </c>
      <c r="F8" s="190" t="str">
        <f t="shared" si="6"/>
        <v>ALP.BSP.SOP.001.05</v>
      </c>
      <c r="G8" s="190" t="str">
        <f>IF(ISBLANK(N8),"",CONCATENATE(LEFT(F8,15),".",INDEX(Ref!A:A,MATCH(N8,Ref!$K$1:$K$333,0))))</f>
        <v>ALP.BSP.SOP.001.11</v>
      </c>
      <c r="H8" s="180"/>
      <c r="I8" s="180"/>
      <c r="J8" s="180"/>
      <c r="K8" s="181"/>
      <c r="L8" s="29"/>
      <c r="M8" s="29"/>
      <c r="N8" s="183" t="s">
        <v>95</v>
      </c>
      <c r="O8" s="182"/>
      <c r="P8" s="182"/>
      <c r="Q8" s="184"/>
      <c r="R8" s="184"/>
      <c r="S8" s="185" t="str">
        <f>IFERROR(CLEAN(INDEX('Risk Matrix'!$H$7:$L$11,MATCH($Q8,'Risk Matrix'!$F$7:$F$11,0),MATCH($R8,'Risk Matrix'!$H$6:$L$6,0))),"")</f>
        <v/>
      </c>
      <c r="T8" s="85">
        <f>IF(LEFT($B8,7)=RIGHT('SOP template'!$B$1,7),_xlfn.NUMBERVALUE(RIGHT($S8,2)),"")</f>
        <v>0</v>
      </c>
      <c r="U8" s="182"/>
      <c r="V8" s="182" t="s">
        <v>442</v>
      </c>
      <c r="W8" s="199"/>
      <c r="X8" s="182" t="s">
        <v>443</v>
      </c>
      <c r="Y8" s="182" t="s">
        <v>444</v>
      </c>
      <c r="Z8" s="182" t="s">
        <v>445</v>
      </c>
      <c r="AA8" s="186" t="str">
        <f>IFERROR(VLOOKUP(IFERROR(LEFT(S8,4),""),Ref!$AF$2:$AG$5,2,0),"")</f>
        <v/>
      </c>
      <c r="AB8" s="186"/>
      <c r="AC8" s="218" t="s">
        <v>169</v>
      </c>
      <c r="AD8" s="187" t="str">
        <f>IFERROR(VLOOKUP(AC8,'Training Matrix'!B$4:C$24,2,0),"")</f>
        <v>Technician</v>
      </c>
      <c r="AE8" s="221">
        <v>45792</v>
      </c>
      <c r="AF8" s="188">
        <f>IF(AE8="","",EDATE(AE8,AB$4))</f>
        <v>46522</v>
      </c>
      <c r="AG8" s="189" t="str">
        <f t="shared" ca="1" si="4"/>
        <v>Current</v>
      </c>
      <c r="AH8" s="50" t="str">
        <f>IF(OR(AC8="",AE8=""),"",CONCATENATE(AC8,"_",K4,"_",L4))</f>
        <v>Person 5_ALP.BSP.SOP.001_Laboratory Entry and Exit</v>
      </c>
    </row>
    <row r="9" spans="1:34" ht="30" x14ac:dyDescent="0.25">
      <c r="A9" s="5">
        <f>IF(LEFT(F9,15)='SOP template'!$B$1,1,"")</f>
        <v>1</v>
      </c>
      <c r="B9" s="190" t="str">
        <f t="shared" si="5"/>
        <v>SOP.001.6</v>
      </c>
      <c r="C9" s="190" t="str">
        <f t="shared" si="1"/>
        <v>SOP.001.3.4</v>
      </c>
      <c r="D9" s="190" t="str">
        <f t="shared" si="7"/>
        <v>SOP.001.2.5</v>
      </c>
      <c r="E9" s="190">
        <f t="shared" si="3"/>
        <v>6</v>
      </c>
      <c r="F9" s="190" t="str">
        <f t="shared" si="6"/>
        <v>ALP.BSP.SOP.001.06</v>
      </c>
      <c r="G9" s="190" t="str">
        <f>IF(ISBLANK(N9),"",CONCATENATE(LEFT(F9,15),".",INDEX(Ref!A:A,MATCH(N9,Ref!$K$1:$K$333,0))))</f>
        <v>ALP.BSP.SOP.001.14</v>
      </c>
      <c r="H9" s="180"/>
      <c r="I9" s="180"/>
      <c r="J9" s="180"/>
      <c r="K9" s="181"/>
      <c r="L9" s="29"/>
      <c r="M9" s="29"/>
      <c r="N9" s="183" t="s">
        <v>127</v>
      </c>
      <c r="O9" s="182"/>
      <c r="P9" s="182"/>
      <c r="Q9" s="184"/>
      <c r="R9" s="184"/>
      <c r="S9" s="185" t="str">
        <f>IFERROR(CLEAN(INDEX('Risk Matrix'!$H$7:$L$11,MATCH($Q9,'Risk Matrix'!$F$7:$F$11,0),MATCH($R9,'Risk Matrix'!$H$6:$L$6,0))),"")</f>
        <v/>
      </c>
      <c r="T9" s="85">
        <f>IF(LEFT($B9,7)=RIGHT('SOP template'!$B$1,7),_xlfn.NUMBERVALUE(RIGHT($S9,2)),"")</f>
        <v>0</v>
      </c>
      <c r="U9" s="182"/>
      <c r="V9" s="182"/>
      <c r="W9" s="199"/>
      <c r="X9" s="182" t="s">
        <v>446</v>
      </c>
      <c r="Y9" s="182" t="s">
        <v>447</v>
      </c>
      <c r="Z9" s="182" t="s">
        <v>448</v>
      </c>
      <c r="AA9" s="186" t="str">
        <f>IFERROR(VLOOKUP(IFERROR(LEFT(S9,4),""),Ref!$AF$2:$AG$5,2,0),"")</f>
        <v/>
      </c>
      <c r="AB9" s="186"/>
      <c r="AC9" s="218" t="s">
        <v>170</v>
      </c>
      <c r="AD9" s="187" t="str">
        <f>IFERROR(VLOOKUP(AC9,'Training Matrix'!B$4:C$24,2,0),"")</f>
        <v>Scientist</v>
      </c>
      <c r="AE9" s="221">
        <v>45792</v>
      </c>
      <c r="AF9" s="188">
        <f>IF(AE9="","",EDATE(AE9,AB$4))</f>
        <v>46522</v>
      </c>
      <c r="AG9" s="189" t="str">
        <f ca="1">IF(AE9="","",IF(TODAY()&gt;AF9,"Overdue","Current"))</f>
        <v>Current</v>
      </c>
      <c r="AH9" s="50" t="str">
        <f>IF(OR(AC9="",AE9=""),"",CONCATENATE(AC9,"_",K4,"_",L4))</f>
        <v>Person 6_ALP.BSP.SOP.001_Laboratory Entry and Exit</v>
      </c>
    </row>
    <row r="10" spans="1:34" ht="30" x14ac:dyDescent="0.25">
      <c r="A10" s="5">
        <f>IF(LEFT(F10,15)='SOP template'!$B$1,1,"")</f>
        <v>1</v>
      </c>
      <c r="B10" s="190" t="str">
        <f t="shared" si="5"/>
        <v>SOP.001.7</v>
      </c>
      <c r="C10" s="190" t="str">
        <f t="shared" si="1"/>
        <v>SOP.001.4</v>
      </c>
      <c r="D10" s="190" t="str">
        <f t="shared" si="7"/>
        <v>SOP.001.3</v>
      </c>
      <c r="E10" s="190">
        <f t="shared" si="3"/>
        <v>7</v>
      </c>
      <c r="F10" s="190" t="str">
        <f t="shared" si="6"/>
        <v>ALP.BSP.SOP.001.07</v>
      </c>
      <c r="G10" s="190" t="str">
        <f>IF(ISBLANK(N10),"",CONCATENATE(LEFT(F10,15),".",INDEX(Ref!A:A,MATCH(N10,Ref!$K$1:$K$333,0))))</f>
        <v>ALP.BSP.SOP.001.20</v>
      </c>
      <c r="H10" s="180"/>
      <c r="I10" s="180"/>
      <c r="J10" s="180"/>
      <c r="K10" s="181"/>
      <c r="L10" s="29"/>
      <c r="M10" s="29"/>
      <c r="N10" s="183" t="s">
        <v>133</v>
      </c>
      <c r="O10" s="182"/>
      <c r="P10" s="182"/>
      <c r="Q10" s="184"/>
      <c r="R10" s="184"/>
      <c r="S10" s="185" t="str">
        <f>IFERROR(CLEAN(INDEX('Risk Matrix'!$H$7:$L$11,MATCH($Q10,'Risk Matrix'!$F$7:$F$11,0),MATCH($R10,'Risk Matrix'!$H$6:$L$6,0))),"")</f>
        <v/>
      </c>
      <c r="T10" s="85">
        <f>IF(LEFT($B10,7)=RIGHT('SOP template'!$B$1,7),_xlfn.NUMBERVALUE(RIGHT($S10,2)),"")</f>
        <v>0</v>
      </c>
      <c r="U10" s="182"/>
      <c r="V10" s="182"/>
      <c r="W10" s="199"/>
      <c r="X10" s="182" t="s">
        <v>449</v>
      </c>
      <c r="Y10" s="182" t="s">
        <v>450</v>
      </c>
      <c r="Z10" s="182"/>
      <c r="AA10" s="186" t="str">
        <f>IFERROR(VLOOKUP(IFERROR(LEFT(S10,4),""),Ref!$AF$2:$AG$5,2,0),"")</f>
        <v/>
      </c>
      <c r="AB10" s="186"/>
      <c r="AC10" s="218"/>
      <c r="AD10" s="187" t="str">
        <f>IFERROR(VLOOKUP(AC10,'Training Matrix'!B$4:C$24,2,0),"")</f>
        <v/>
      </c>
      <c r="AE10" s="221"/>
      <c r="AF10" s="188" t="str">
        <f t="shared" ref="AF10:AF14" si="8">IF(AE10="","",EDATE(AE10,AB$4))</f>
        <v/>
      </c>
      <c r="AG10" s="189" t="str">
        <f t="shared" ref="AG10:AG73" ca="1" si="9">IF(AE10="","",IF(TODAY()&gt;AF10,"Overdue","Current"))</f>
        <v/>
      </c>
      <c r="AH10" s="50" t="str">
        <f>IF(OR(AC10="",AE10=""),"",CONCATENATE(AC10,"_",K4,"_",L4))</f>
        <v/>
      </c>
    </row>
    <row r="11" spans="1:34" x14ac:dyDescent="0.25">
      <c r="A11" s="5">
        <f>IF(LEFT(F11,15)='SOP template'!$B$1,1,"")</f>
        <v>1</v>
      </c>
      <c r="B11" s="190" t="str">
        <f t="shared" si="5"/>
        <v>SOP.001.8</v>
      </c>
      <c r="C11" s="190" t="str">
        <f t="shared" si="1"/>
        <v>SOP.001.4.4</v>
      </c>
      <c r="D11" s="190" t="str">
        <f t="shared" si="7"/>
        <v>SOP.001.3.3</v>
      </c>
      <c r="E11" s="190">
        <f t="shared" si="3"/>
        <v>8</v>
      </c>
      <c r="F11" s="190" t="str">
        <f t="shared" si="6"/>
        <v>ALP.BSP.SOP.001.08</v>
      </c>
      <c r="G11" s="190" t="str">
        <f>IF(ISBLANK(N11),"",CONCATENATE(LEFT(F11,15),".",INDEX(Ref!A:A,MATCH(N11,Ref!$K$1:$K$333,0))))</f>
        <v/>
      </c>
      <c r="H11" s="180"/>
      <c r="I11" s="180"/>
      <c r="J11" s="180"/>
      <c r="K11" s="181"/>
      <c r="L11" s="29"/>
      <c r="M11" s="29"/>
      <c r="N11" s="183"/>
      <c r="O11" s="182"/>
      <c r="P11" s="182"/>
      <c r="Q11" s="184"/>
      <c r="R11" s="184"/>
      <c r="S11" s="185" t="str">
        <f>IFERROR(CLEAN(INDEX('Risk Matrix'!$H$7:$L$11,MATCH($Q11,'Risk Matrix'!$F$7:$F$11,0),MATCH($R11,'Risk Matrix'!$H$6:$L$6,0))),"")</f>
        <v/>
      </c>
      <c r="T11" s="85">
        <f>IF(LEFT($B11,7)=RIGHT('SOP template'!$B$1,7),_xlfn.NUMBERVALUE(RIGHT($S11,2)),"")</f>
        <v>0</v>
      </c>
      <c r="U11" s="182"/>
      <c r="V11" s="182"/>
      <c r="W11" s="182"/>
      <c r="X11" s="182"/>
      <c r="Y11" s="182"/>
      <c r="Z11" s="182"/>
      <c r="AA11" s="186" t="str">
        <f>IFERROR(VLOOKUP(IFERROR(LEFT(S11,4),""),Ref!$AF$2:$AG$5,2,0),"")</f>
        <v/>
      </c>
      <c r="AB11" s="186"/>
      <c r="AC11" s="218"/>
      <c r="AD11" s="187" t="str">
        <f>IFERROR(VLOOKUP(AC11,'Training Matrix'!B$4:C$24,2,0),"")</f>
        <v/>
      </c>
      <c r="AE11" s="221"/>
      <c r="AF11" s="188" t="str">
        <f t="shared" si="8"/>
        <v/>
      </c>
      <c r="AG11" s="189" t="str">
        <f t="shared" ca="1" si="9"/>
        <v/>
      </c>
      <c r="AH11" s="50" t="str">
        <f>IF(OR(AC11="",AE11=""),"",CONCATENATE(AC11,"_",K4,"_",L4))</f>
        <v/>
      </c>
    </row>
    <row r="12" spans="1:34" x14ac:dyDescent="0.25">
      <c r="A12" s="5">
        <f>IF(LEFT(F12,15)='SOP template'!$B$1,1,"")</f>
        <v>1</v>
      </c>
      <c r="B12" s="190" t="str">
        <f t="shared" si="5"/>
        <v>SOP.001.9</v>
      </c>
      <c r="C12" s="190" t="str">
        <f t="shared" si="1"/>
        <v>SOP.001.5</v>
      </c>
      <c r="D12" s="190" t="str">
        <f t="shared" si="7"/>
        <v>SOP.001.3.5</v>
      </c>
      <c r="E12" s="190">
        <f t="shared" si="3"/>
        <v>9</v>
      </c>
      <c r="F12" s="190" t="str">
        <f t="shared" si="6"/>
        <v>ALP.BSP.SOP.001.09</v>
      </c>
      <c r="G12" s="190" t="str">
        <f>IF(ISBLANK(N12),"",CONCATENATE(LEFT(F12,15),".",INDEX(Ref!A:A,MATCH(N12,Ref!$K$1:$K$333,0))))</f>
        <v/>
      </c>
      <c r="H12" s="180"/>
      <c r="I12" s="180"/>
      <c r="J12" s="180"/>
      <c r="K12" s="181"/>
      <c r="L12" s="29"/>
      <c r="M12" s="29"/>
      <c r="N12" s="183"/>
      <c r="O12" s="182"/>
      <c r="P12" s="182"/>
      <c r="Q12" s="184"/>
      <c r="R12" s="184"/>
      <c r="S12" s="185" t="str">
        <f>IFERROR(CLEAN(INDEX('Risk Matrix'!$H$7:$L$11,MATCH($Q12,'Risk Matrix'!$F$7:$F$11,0),MATCH($R12,'Risk Matrix'!$H$6:$L$6,0))),"")</f>
        <v/>
      </c>
      <c r="T12" s="85">
        <f>IF(LEFT($B12,7)=RIGHT('SOP template'!$B$1,7),_xlfn.NUMBERVALUE(RIGHT($S12,2)),"")</f>
        <v>0</v>
      </c>
      <c r="U12" s="182"/>
      <c r="V12" s="182"/>
      <c r="W12" s="182"/>
      <c r="X12" s="182"/>
      <c r="Y12" s="182"/>
      <c r="Z12" s="182"/>
      <c r="AA12" s="186" t="str">
        <f>IFERROR(VLOOKUP(IFERROR(LEFT(S12,4),""),Ref!$AF$2:$AG$5,2,0),"")</f>
        <v/>
      </c>
      <c r="AB12" s="186"/>
      <c r="AC12" s="218"/>
      <c r="AD12" s="187" t="str">
        <f>IFERROR(VLOOKUP(AC12,'Training Matrix'!B$4:C$24,2,0),"")</f>
        <v/>
      </c>
      <c r="AE12" s="221"/>
      <c r="AF12" s="188" t="str">
        <f t="shared" si="8"/>
        <v/>
      </c>
      <c r="AG12" s="189" t="str">
        <f t="shared" ca="1" si="9"/>
        <v/>
      </c>
      <c r="AH12" s="50" t="str">
        <f>IF(OR(AC12="",AE12=""),"",CONCATENATE(AC12,"_",K4,"_",L4))</f>
        <v/>
      </c>
    </row>
    <row r="13" spans="1:34" x14ac:dyDescent="0.25">
      <c r="A13" s="5">
        <f>IF(LEFT(F13,15)='SOP template'!$B$1,1,"")</f>
        <v>1</v>
      </c>
      <c r="B13" s="190" t="str">
        <f t="shared" si="5"/>
        <v>SOP.001.10</v>
      </c>
      <c r="C13" s="190" t="str">
        <f t="shared" si="1"/>
        <v>SOP.001.5.4</v>
      </c>
      <c r="D13" s="190" t="str">
        <f t="shared" si="7"/>
        <v>SOP.001.4</v>
      </c>
      <c r="E13" s="190">
        <f t="shared" si="3"/>
        <v>10</v>
      </c>
      <c r="F13" s="190" t="str">
        <f>IF(K13=0,LEFT(F12,16)&amp;TEXT(E13,"00"),K13&amp;"."&amp;TEXT(E13,"00"))</f>
        <v>ALP.BSP.SOP.001.10</v>
      </c>
      <c r="G13" s="190" t="str">
        <f>IF(ISBLANK(N13),"",CONCATENATE(LEFT(F13,15),".",INDEX(Ref!A:A,MATCH(N13,Ref!$K$1:$K$333,0))))</f>
        <v/>
      </c>
      <c r="H13" s="180"/>
      <c r="I13" s="180"/>
      <c r="J13" s="180"/>
      <c r="K13" s="181"/>
      <c r="L13" s="29"/>
      <c r="M13" s="29"/>
      <c r="N13" s="183"/>
      <c r="O13" s="182"/>
      <c r="P13" s="182"/>
      <c r="Q13" s="184"/>
      <c r="R13" s="184"/>
      <c r="S13" s="185" t="str">
        <f>IFERROR(CLEAN(INDEX('Risk Matrix'!$H$7:$L$11,MATCH($Q13,'Risk Matrix'!$F$7:$F$11,0),MATCH($R13,'Risk Matrix'!$H$6:$L$6,0))),"")</f>
        <v/>
      </c>
      <c r="T13" s="85">
        <f>IF(LEFT($B13,7)=RIGHT('SOP template'!$B$1,7),_xlfn.NUMBERVALUE(RIGHT($S13,2)),"")</f>
        <v>0</v>
      </c>
      <c r="U13" s="182"/>
      <c r="V13" s="182"/>
      <c r="W13" s="182"/>
      <c r="X13" s="182"/>
      <c r="Y13" s="182"/>
      <c r="Z13" s="182"/>
      <c r="AA13" s="186" t="str">
        <f>IFERROR(VLOOKUP(IFERROR(LEFT(S13,4),""),Ref!$AF$2:$AG$5,2,0),"")</f>
        <v/>
      </c>
      <c r="AB13" s="186"/>
      <c r="AC13" s="218"/>
      <c r="AD13" s="187" t="str">
        <f>IFERROR(VLOOKUP(AC13,'Training Matrix'!B$4:C$24,2,0),"")</f>
        <v/>
      </c>
      <c r="AE13" s="221"/>
      <c r="AF13" s="188" t="str">
        <f t="shared" si="8"/>
        <v/>
      </c>
      <c r="AG13" s="189" t="str">
        <f t="shared" ca="1" si="9"/>
        <v/>
      </c>
      <c r="AH13" s="50" t="str">
        <f>IF(OR(AC13="",AE13=""),"",CONCATENATE(AC13,"_",K4,"_",L4))</f>
        <v/>
      </c>
    </row>
    <row r="14" spans="1:34" x14ac:dyDescent="0.25">
      <c r="A14" s="5">
        <f>IF(LEFT(F14,15)='SOP template'!$B$1,1,"")</f>
        <v>1</v>
      </c>
      <c r="B14" s="190" t="str">
        <f t="shared" ref="B14:B21" si="10">CONCATENATE(LEFT(B13,8),E14)</f>
        <v>SOP.001.11</v>
      </c>
      <c r="C14" s="190" t="str">
        <f t="shared" si="1"/>
        <v>SOP.001.6</v>
      </c>
      <c r="D14" s="190" t="str">
        <f t="shared" si="7"/>
        <v>SOP.001.4.3</v>
      </c>
      <c r="E14" s="190">
        <f t="shared" si="3"/>
        <v>11</v>
      </c>
      <c r="F14" s="190" t="str">
        <f t="shared" ref="F14:F21" si="11">IF(K14=0,LEFT(F13,16)&amp;TEXT(E14,"00"),K14&amp;"."&amp;TEXT(E14,"00"))</f>
        <v>ALP.BSP.SOP.001.11</v>
      </c>
      <c r="G14" s="190" t="str">
        <f>IF(ISBLANK(N14),"",CONCATENATE(LEFT(F14,15),".",INDEX(Ref!A:A,MATCH(N14,Ref!$K$1:$K$333,0))))</f>
        <v/>
      </c>
      <c r="H14" s="180"/>
      <c r="I14" s="180"/>
      <c r="J14" s="180"/>
      <c r="K14" s="181"/>
      <c r="L14" s="29"/>
      <c r="M14" s="29"/>
      <c r="N14" s="183"/>
      <c r="O14" s="182"/>
      <c r="P14" s="182"/>
      <c r="Q14" s="184"/>
      <c r="R14" s="184"/>
      <c r="S14" s="185" t="str">
        <f>IFERROR(CLEAN(INDEX('Risk Matrix'!$H$7:$L$11,MATCH($Q14,'Risk Matrix'!$F$7:$F$11,0),MATCH($R14,'Risk Matrix'!$H$6:$L$6,0))),"")</f>
        <v/>
      </c>
      <c r="T14" s="85">
        <f>IF(LEFT($B14,7)=RIGHT('SOP template'!$B$1,7),_xlfn.NUMBERVALUE(RIGHT($S14,2)),"")</f>
        <v>0</v>
      </c>
      <c r="U14" s="182"/>
      <c r="V14" s="182"/>
      <c r="W14" s="182"/>
      <c r="X14" s="182"/>
      <c r="Y14" s="182"/>
      <c r="Z14" s="182"/>
      <c r="AA14" s="186" t="str">
        <f>IFERROR(VLOOKUP(IFERROR(LEFT(S14,4),""),Ref!$AF$2:$AG$5,2,0),"")</f>
        <v/>
      </c>
      <c r="AB14" s="186"/>
      <c r="AC14" s="218"/>
      <c r="AD14" s="187" t="str">
        <f>IFERROR(VLOOKUP(AC14,'Training Matrix'!B$4:C$24,2,0),"")</f>
        <v/>
      </c>
      <c r="AE14" s="221"/>
      <c r="AF14" s="188" t="str">
        <f t="shared" si="8"/>
        <v/>
      </c>
      <c r="AG14" s="189" t="str">
        <f t="shared" ca="1" si="9"/>
        <v/>
      </c>
      <c r="AH14" s="50" t="str">
        <f>IF(OR(AC14="",AE14=""),"",CONCATENATE(AC14,"_",K4,"_",L4))</f>
        <v/>
      </c>
    </row>
    <row r="15" spans="1:34" x14ac:dyDescent="0.25">
      <c r="A15" s="5">
        <f>IF(LEFT(F15,15)='SOP template'!$B$1,1,"")</f>
        <v>1</v>
      </c>
      <c r="B15" s="190" t="str">
        <f t="shared" si="10"/>
        <v>SOP.001.12</v>
      </c>
      <c r="C15" s="190" t="str">
        <f t="shared" si="1"/>
        <v>SOP.001.6.4</v>
      </c>
      <c r="D15" s="190" t="str">
        <f t="shared" si="7"/>
        <v>SOP.001.4.5</v>
      </c>
      <c r="E15" s="190">
        <f t="shared" si="3"/>
        <v>12</v>
      </c>
      <c r="F15" s="190" t="str">
        <f t="shared" si="11"/>
        <v>ALP.BSP.SOP.001.12</v>
      </c>
      <c r="G15" s="190" t="str">
        <f>IF(ISBLANK(N15),"",CONCATENATE(LEFT(F15,15),".",INDEX(Ref!A:A,MATCH(N15,Ref!$K$1:$K$333,0))))</f>
        <v/>
      </c>
      <c r="H15" s="180"/>
      <c r="I15" s="180"/>
      <c r="J15" s="180"/>
      <c r="K15" s="181"/>
      <c r="L15" s="29"/>
      <c r="M15" s="29"/>
      <c r="N15" s="183"/>
      <c r="O15" s="182"/>
      <c r="P15" s="182"/>
      <c r="Q15" s="184"/>
      <c r="R15" s="184"/>
      <c r="S15" s="185" t="str">
        <f>IFERROR(CLEAN(INDEX('Risk Matrix'!$H$7:$L$11,MATCH($Q15,'Risk Matrix'!$F$7:$F$11,0),MATCH($R15,'Risk Matrix'!$H$6:$L$6,0))),"")</f>
        <v/>
      </c>
      <c r="T15" s="85">
        <f>IF(LEFT($B15,7)=RIGHT('SOP template'!$B$1,7),_xlfn.NUMBERVALUE(RIGHT($S15,2)),"")</f>
        <v>0</v>
      </c>
      <c r="U15" s="182"/>
      <c r="V15" s="182"/>
      <c r="W15" s="182"/>
      <c r="X15" s="182"/>
      <c r="Y15" s="182"/>
      <c r="Z15" s="182"/>
      <c r="AA15" s="186" t="str">
        <f>IFERROR(VLOOKUP(IFERROR(LEFT(S15,4),""),Ref!$AF$2:$AG$5,2,0),"")</f>
        <v/>
      </c>
      <c r="AB15" s="186"/>
      <c r="AC15" s="218"/>
      <c r="AD15" s="187" t="str">
        <f>IFERROR(VLOOKUP(AC15,'Training Matrix'!B$4:C$24,2,0),"")</f>
        <v/>
      </c>
      <c r="AE15" s="221"/>
      <c r="AF15" s="188" t="str">
        <f t="shared" ref="AF15:AF73" si="12">IF(AE15="","",EDATE(AE15,AB$4))</f>
        <v/>
      </c>
      <c r="AG15" s="189" t="str">
        <f t="shared" ca="1" si="9"/>
        <v/>
      </c>
      <c r="AH15" s="50" t="str">
        <f>IF(OR(AC15="",AE15=""),"",CONCATENATE(AC15,"_",K4,"_",L4))</f>
        <v/>
      </c>
    </row>
    <row r="16" spans="1:34" x14ac:dyDescent="0.25">
      <c r="A16" s="5">
        <f>IF(LEFT(F16,15)='SOP template'!$B$1,1,"")</f>
        <v>1</v>
      </c>
      <c r="B16" s="190" t="str">
        <f t="shared" si="10"/>
        <v>SOP.001.13</v>
      </c>
      <c r="C16" s="190" t="str">
        <f t="shared" si="1"/>
        <v>SOP.001.</v>
      </c>
      <c r="D16" s="190" t="str">
        <f t="shared" si="7"/>
        <v>SOP.001.</v>
      </c>
      <c r="E16" s="190">
        <f t="shared" si="3"/>
        <v>13</v>
      </c>
      <c r="F16" s="190" t="str">
        <f t="shared" si="11"/>
        <v>ALP.BSP.SOP.001.13</v>
      </c>
      <c r="G16" s="190" t="str">
        <f>IF(ISBLANK(N16),"",CONCATENATE(LEFT(F16,15),".",INDEX(Ref!A:A,MATCH(N16,Ref!$K$1:$K$333,0))))</f>
        <v/>
      </c>
      <c r="H16" s="180"/>
      <c r="I16" s="180"/>
      <c r="J16" s="180"/>
      <c r="K16" s="181"/>
      <c r="L16" s="29"/>
      <c r="M16" s="29"/>
      <c r="N16" s="183"/>
      <c r="O16" s="182"/>
      <c r="P16" s="182"/>
      <c r="Q16" s="184"/>
      <c r="R16" s="184"/>
      <c r="S16" s="185" t="str">
        <f>IFERROR(CLEAN(INDEX('Risk Matrix'!$H$7:$L$11,MATCH($Q16,'Risk Matrix'!$F$7:$F$11,0),MATCH($R16,'Risk Matrix'!$H$6:$L$6,0))),"")</f>
        <v/>
      </c>
      <c r="T16" s="85">
        <f>IF(LEFT($B16,7)=RIGHT('SOP template'!$B$1,7),_xlfn.NUMBERVALUE(RIGHT($S16,2)),"")</f>
        <v>0</v>
      </c>
      <c r="U16" s="182"/>
      <c r="V16" s="182"/>
      <c r="W16" s="182"/>
      <c r="X16" s="182"/>
      <c r="Y16" s="182"/>
      <c r="Z16" s="182"/>
      <c r="AA16" s="186" t="str">
        <f>IFERROR(VLOOKUP(IFERROR(LEFT(S16,4),""),Ref!$AF$2:$AG$5,2,0),"")</f>
        <v/>
      </c>
      <c r="AB16" s="186"/>
      <c r="AC16" s="218"/>
      <c r="AD16" s="187" t="str">
        <f>IFERROR(VLOOKUP(AC16,'Training Matrix'!B$4:C$24,2,0),"")</f>
        <v/>
      </c>
      <c r="AE16" s="221"/>
      <c r="AF16" s="188" t="str">
        <f t="shared" si="12"/>
        <v/>
      </c>
      <c r="AG16" s="189" t="str">
        <f t="shared" ca="1" si="9"/>
        <v/>
      </c>
      <c r="AH16" s="50" t="str">
        <f>IF(OR(AC16="",AE16=""),"",CONCATENATE(AC16,"_",K4,"_",L4))</f>
        <v/>
      </c>
    </row>
    <row r="17" spans="1:34" x14ac:dyDescent="0.25">
      <c r="A17" s="5">
        <f>IF(LEFT(F17,15)='SOP template'!$B$1,1,"")</f>
        <v>1</v>
      </c>
      <c r="B17" s="190" t="str">
        <f t="shared" si="10"/>
        <v>SOP.001.14</v>
      </c>
      <c r="C17" s="190" t="str">
        <f t="shared" si="1"/>
        <v>SOP.001.</v>
      </c>
      <c r="D17" s="190" t="str">
        <f t="shared" si="7"/>
        <v>SOP.001.</v>
      </c>
      <c r="E17" s="190">
        <f t="shared" si="3"/>
        <v>14</v>
      </c>
      <c r="F17" s="190" t="str">
        <f t="shared" si="11"/>
        <v>ALP.BSP.SOP.001.14</v>
      </c>
      <c r="G17" s="190" t="str">
        <f>IF(ISBLANK(N17),"",CONCATENATE(LEFT(F17,15),".",INDEX(Ref!A:A,MATCH(N17,Ref!$K$1:$K$333,0))))</f>
        <v/>
      </c>
      <c r="H17" s="180"/>
      <c r="I17" s="180"/>
      <c r="J17" s="180"/>
      <c r="K17" s="181"/>
      <c r="L17" s="29"/>
      <c r="M17" s="29"/>
      <c r="N17" s="183"/>
      <c r="O17" s="182"/>
      <c r="P17" s="182"/>
      <c r="Q17" s="184"/>
      <c r="R17" s="184"/>
      <c r="S17" s="185" t="str">
        <f>IFERROR(CLEAN(INDEX('Risk Matrix'!$H$7:$L$11,MATCH($Q17,'Risk Matrix'!$F$7:$F$11,0),MATCH($R17,'Risk Matrix'!$H$6:$L$6,0))),"")</f>
        <v/>
      </c>
      <c r="T17" s="85">
        <f>IF(LEFT($B17,7)=RIGHT('SOP template'!$B$1,7),_xlfn.NUMBERVALUE(RIGHT($S17,2)),"")</f>
        <v>0</v>
      </c>
      <c r="U17" s="182"/>
      <c r="V17" s="182"/>
      <c r="W17" s="182"/>
      <c r="X17" s="182"/>
      <c r="Y17" s="182"/>
      <c r="Z17" s="182"/>
      <c r="AA17" s="186" t="str">
        <f>IFERROR(VLOOKUP(IFERROR(LEFT(S17,4),""),Ref!$AF$2:$AG$5,2,0),"")</f>
        <v/>
      </c>
      <c r="AB17" s="186"/>
      <c r="AC17" s="218"/>
      <c r="AD17" s="187" t="str">
        <f>IFERROR(VLOOKUP(AC17,'Training Matrix'!B$4:C$24,2,0),"")</f>
        <v/>
      </c>
      <c r="AE17" s="218"/>
      <c r="AF17" s="188" t="str">
        <f t="shared" si="12"/>
        <v/>
      </c>
      <c r="AG17" s="189" t="str">
        <f t="shared" ca="1" si="9"/>
        <v/>
      </c>
      <c r="AH17" s="50" t="str">
        <f>IF(OR(AC17="",AE17=""),"",CONCATENATE(AC17,"_",K4,"_",L4))</f>
        <v/>
      </c>
    </row>
    <row r="18" spans="1:34" x14ac:dyDescent="0.25">
      <c r="A18" s="5">
        <f>IF(LEFT(F18,15)='SOP template'!$B$1,1,"")</f>
        <v>1</v>
      </c>
      <c r="B18" s="190" t="str">
        <f t="shared" si="10"/>
        <v>SOP.001.15</v>
      </c>
      <c r="C18" s="190" t="str">
        <f t="shared" si="1"/>
        <v>SOP.001.</v>
      </c>
      <c r="D18" s="190" t="str">
        <f t="shared" si="7"/>
        <v>SOP.001.</v>
      </c>
      <c r="E18" s="190">
        <f t="shared" si="3"/>
        <v>15</v>
      </c>
      <c r="F18" s="190" t="str">
        <f t="shared" si="11"/>
        <v>ALP.BSP.SOP.001.15</v>
      </c>
      <c r="G18" s="190" t="str">
        <f>IF(ISBLANK(N18),"",CONCATENATE(LEFT(F18,15),".",INDEX(Ref!A:A,MATCH(N18,Ref!$K$1:$K$333,0))))</f>
        <v/>
      </c>
      <c r="H18" s="180"/>
      <c r="I18" s="180"/>
      <c r="J18" s="180"/>
      <c r="K18" s="181"/>
      <c r="L18" s="29"/>
      <c r="M18" s="29"/>
      <c r="N18" s="183"/>
      <c r="O18" s="182"/>
      <c r="P18" s="182"/>
      <c r="Q18" s="184"/>
      <c r="R18" s="184"/>
      <c r="S18" s="185" t="str">
        <f>IFERROR(CLEAN(INDEX('Risk Matrix'!$H$7:$L$11,MATCH($Q18,'Risk Matrix'!$F$7:$F$11,0),MATCH($R18,'Risk Matrix'!$H$6:$L$6,0))),"")</f>
        <v/>
      </c>
      <c r="T18" s="85">
        <f>IF(LEFT($B18,7)=RIGHT('SOP template'!$B$1,7),_xlfn.NUMBERVALUE(RIGHT($S18,2)),"")</f>
        <v>0</v>
      </c>
      <c r="U18" s="182"/>
      <c r="V18" s="182"/>
      <c r="W18" s="182"/>
      <c r="X18" s="182"/>
      <c r="Y18" s="182"/>
      <c r="Z18" s="182"/>
      <c r="AA18" s="186" t="str">
        <f>IFERROR(VLOOKUP(IFERROR(LEFT(S18,4),""),Ref!$AF$2:$AG$5,2,0),"")</f>
        <v/>
      </c>
      <c r="AB18" s="186"/>
      <c r="AC18" s="218"/>
      <c r="AD18" s="187" t="str">
        <f>IFERROR(VLOOKUP(AC18,'Training Matrix'!B$4:C$24,2,0),"")</f>
        <v/>
      </c>
      <c r="AE18" s="218"/>
      <c r="AF18" s="188" t="str">
        <f t="shared" si="12"/>
        <v/>
      </c>
      <c r="AG18" s="189" t="str">
        <f t="shared" ca="1" si="9"/>
        <v/>
      </c>
      <c r="AH18" s="50" t="str">
        <f>IF(OR(AC18="",AE18=""),"",CONCATENATE(AC18,"_",K4,"_",L4))</f>
        <v/>
      </c>
    </row>
    <row r="19" spans="1:34" x14ac:dyDescent="0.25">
      <c r="A19" s="5">
        <f>IF(LEFT(F19,15)='SOP template'!$B$1,1,"")</f>
        <v>1</v>
      </c>
      <c r="B19" s="190" t="str">
        <f t="shared" si="10"/>
        <v>SOP.001.16</v>
      </c>
      <c r="C19" s="190" t="str">
        <f t="shared" si="1"/>
        <v>SOP.001.</v>
      </c>
      <c r="D19" s="190" t="str">
        <f t="shared" si="7"/>
        <v>SOP.001.</v>
      </c>
      <c r="E19" s="190">
        <f t="shared" si="3"/>
        <v>16</v>
      </c>
      <c r="F19" s="190" t="str">
        <f t="shared" si="11"/>
        <v>ALP.BSP.SOP.001.16</v>
      </c>
      <c r="G19" s="190" t="str">
        <f>IF(ISBLANK(N19),"",CONCATENATE(LEFT(F19,15),".",INDEX(Ref!A:A,MATCH(N19,Ref!$K$1:$K$333,0))))</f>
        <v/>
      </c>
      <c r="H19" s="180"/>
      <c r="I19" s="180"/>
      <c r="J19" s="180"/>
      <c r="K19" s="181"/>
      <c r="L19" s="29"/>
      <c r="M19" s="29"/>
      <c r="N19" s="183"/>
      <c r="O19" s="182"/>
      <c r="P19" s="182"/>
      <c r="Q19" s="184"/>
      <c r="R19" s="184"/>
      <c r="S19" s="185" t="str">
        <f>IFERROR(CLEAN(INDEX('Risk Matrix'!$H$7:$L$11,MATCH($Q19,'Risk Matrix'!$F$7:$F$11,0),MATCH($R19,'Risk Matrix'!$H$6:$L$6,0))),"")</f>
        <v/>
      </c>
      <c r="T19" s="85">
        <f>IF(LEFT($B19,7)=RIGHT('SOP template'!$B$1,7),_xlfn.NUMBERVALUE(RIGHT($S19,2)),"")</f>
        <v>0</v>
      </c>
      <c r="U19" s="182"/>
      <c r="V19" s="182"/>
      <c r="W19" s="182"/>
      <c r="X19" s="182"/>
      <c r="Y19" s="182"/>
      <c r="Z19" s="182"/>
      <c r="AA19" s="186" t="str">
        <f>IFERROR(VLOOKUP(IFERROR(LEFT(S19,4),""),Ref!$AF$2:$AG$5,2,0),"")</f>
        <v/>
      </c>
      <c r="AB19" s="186"/>
      <c r="AC19" s="218"/>
      <c r="AD19" s="187" t="str">
        <f>IFERROR(VLOOKUP(AC19,'Training Matrix'!B$4:C$24,2,0),"")</f>
        <v/>
      </c>
      <c r="AE19" s="218"/>
      <c r="AF19" s="188" t="str">
        <f t="shared" si="12"/>
        <v/>
      </c>
      <c r="AG19" s="189" t="str">
        <f t="shared" ca="1" si="9"/>
        <v/>
      </c>
      <c r="AH19" s="50" t="str">
        <f>IF(OR(AC19="",AE19=""),"",CONCATENATE(AC19,"_",K4,"_",L4))</f>
        <v/>
      </c>
    </row>
    <row r="20" spans="1:34" x14ac:dyDescent="0.25">
      <c r="A20" s="5">
        <f>IF(LEFT(F20,15)='SOP template'!$B$1,1,"")</f>
        <v>1</v>
      </c>
      <c r="B20" s="190" t="str">
        <f t="shared" si="10"/>
        <v>SOP.001.17</v>
      </c>
      <c r="C20" s="190" t="str">
        <f t="shared" si="1"/>
        <v>SOP.001.</v>
      </c>
      <c r="D20" s="190" t="str">
        <f t="shared" si="7"/>
        <v>SOP.001.</v>
      </c>
      <c r="E20" s="190">
        <f t="shared" si="3"/>
        <v>17</v>
      </c>
      <c r="F20" s="190" t="str">
        <f>IF(K20=0,LEFT(F19,16)&amp;TEXT(E20,"00"),K20&amp;"."&amp;TEXT(E20,"00"))</f>
        <v>ALP.BSP.SOP.001.17</v>
      </c>
      <c r="G20" s="190" t="str">
        <f>IF(ISBLANK(N20),"",CONCATENATE(LEFT(F20,15),".",INDEX(Ref!A:A,MATCH(N20,Ref!$K$1:$K$333,0))))</f>
        <v/>
      </c>
      <c r="H20" s="180"/>
      <c r="I20" s="180"/>
      <c r="J20" s="180"/>
      <c r="K20" s="181"/>
      <c r="L20" s="29"/>
      <c r="M20" s="29"/>
      <c r="N20" s="183"/>
      <c r="O20" s="182"/>
      <c r="P20" s="182"/>
      <c r="Q20" s="184"/>
      <c r="R20" s="184"/>
      <c r="S20" s="185" t="str">
        <f>IFERROR(CLEAN(INDEX('Risk Matrix'!$H$7:$L$11,MATCH($Q20,'Risk Matrix'!$F$7:$F$11,0),MATCH($R20,'Risk Matrix'!$H$6:$L$6,0))),"")</f>
        <v/>
      </c>
      <c r="T20" s="85">
        <f>IF(LEFT($B20,7)=RIGHT('SOP template'!$B$1,7),_xlfn.NUMBERVALUE(RIGHT($S20,2)),"")</f>
        <v>0</v>
      </c>
      <c r="U20" s="182"/>
      <c r="V20" s="182"/>
      <c r="W20" s="182"/>
      <c r="X20" s="182"/>
      <c r="Y20" s="182"/>
      <c r="Z20" s="182"/>
      <c r="AA20" s="186" t="str">
        <f>IFERROR(VLOOKUP(IFERROR(LEFT(S20,4),""),Ref!$AF$2:$AG$5,2,0),"")</f>
        <v/>
      </c>
      <c r="AB20" s="186"/>
      <c r="AC20" s="218"/>
      <c r="AD20" s="187" t="str">
        <f>IFERROR(VLOOKUP(AC20,'Training Matrix'!B$4:C$24,2,0),"")</f>
        <v/>
      </c>
      <c r="AE20" s="218"/>
      <c r="AF20" s="188" t="str">
        <f t="shared" si="12"/>
        <v/>
      </c>
      <c r="AG20" s="189" t="str">
        <f t="shared" ca="1" si="9"/>
        <v/>
      </c>
      <c r="AH20" s="50" t="str">
        <f>IF(OR(AC20="",AE20=""),"",CONCATENATE(AC20,"_",K4,"_",L4))</f>
        <v/>
      </c>
    </row>
    <row r="21" spans="1:34" x14ac:dyDescent="0.25">
      <c r="A21" s="5">
        <f>IF(LEFT(F21,15)='SOP template'!$B$1,1,"")</f>
        <v>1</v>
      </c>
      <c r="B21" s="190" t="str">
        <f t="shared" si="10"/>
        <v>SOP.001.18</v>
      </c>
      <c r="C21" s="190" t="str">
        <f t="shared" si="1"/>
        <v>SOP.001.</v>
      </c>
      <c r="D21" s="190" t="str">
        <f t="shared" si="7"/>
        <v>SOP.001.</v>
      </c>
      <c r="E21" s="190">
        <f t="shared" si="3"/>
        <v>18</v>
      </c>
      <c r="F21" s="190" t="str">
        <f t="shared" si="11"/>
        <v>ALP.BSP.SOP.001.18</v>
      </c>
      <c r="G21" s="190" t="str">
        <f>IF(ISBLANK(N21),"",CONCATENATE(LEFT(F21,15),".",INDEX(Ref!A:A,MATCH(N21,Ref!$K$1:$K$333,0))))</f>
        <v/>
      </c>
      <c r="H21" s="180"/>
      <c r="I21" s="180"/>
      <c r="J21" s="180"/>
      <c r="K21" s="181"/>
      <c r="L21" s="29"/>
      <c r="M21" s="29"/>
      <c r="N21" s="183"/>
      <c r="O21" s="182"/>
      <c r="P21" s="182"/>
      <c r="Q21" s="184"/>
      <c r="R21" s="184"/>
      <c r="S21" s="185" t="str">
        <f>IFERROR(CLEAN(INDEX('Risk Matrix'!$H$7:$L$11,MATCH($Q21,'Risk Matrix'!$F$7:$F$11,0),MATCH($R21,'Risk Matrix'!$H$6:$L$6,0))),"")</f>
        <v/>
      </c>
      <c r="T21" s="85">
        <f>IF(LEFT($B21,7)=RIGHT('SOP template'!$B$1,7),_xlfn.NUMBERVALUE(RIGHT($S21,2)),"")</f>
        <v>0</v>
      </c>
      <c r="U21" s="182"/>
      <c r="V21" s="182"/>
      <c r="W21" s="182"/>
      <c r="X21" s="182"/>
      <c r="Y21" s="182"/>
      <c r="Z21" s="182"/>
      <c r="AA21" s="186" t="str">
        <f>IFERROR(VLOOKUP(IFERROR(LEFT(S21,4),""),Ref!$AF$2:$AG$5,2,0),"")</f>
        <v/>
      </c>
      <c r="AB21" s="186"/>
      <c r="AC21" s="218"/>
      <c r="AD21" s="187" t="str">
        <f>IFERROR(VLOOKUP(AC21,'Training Matrix'!B$4:C$24,2,0),"")</f>
        <v/>
      </c>
      <c r="AE21" s="218"/>
      <c r="AF21" s="188" t="str">
        <f t="shared" si="12"/>
        <v/>
      </c>
      <c r="AG21" s="189" t="str">
        <f t="shared" ca="1" si="9"/>
        <v/>
      </c>
      <c r="AH21" s="50" t="str">
        <f>IF(OR(AC21="",AE21=""),"",CONCATENATE(AC21,"_",K4,"_",L4))</f>
        <v/>
      </c>
    </row>
    <row r="22" spans="1:34" ht="120" x14ac:dyDescent="0.25">
      <c r="A22" s="5" t="str">
        <f>IF(LEFT(F22,15)='SOP template'!$B$1,1,"")</f>
        <v/>
      </c>
      <c r="B22" s="179" t="str">
        <f t="shared" ref="B22" si="13">IF(ISBLANK($K22),CONCATENATE($B$2,".",TEXT(J22,"000"),".",$E22),CONCATENATE(RIGHT($K22,7),".1"))</f>
        <v>SOP.002.1</v>
      </c>
      <c r="C22" s="179" t="str">
        <f>IF(ISBLANK($K22),CONCATENATE(LEFT($B3,8),IF($E22=1,1.1,IF($E22=2,1.4,IF($E22=3,2,IF($E22=4,2.4,IF($E22=5,3,IF($E22=6,3.4,IF($E22=7,4,IF($E22=8,4.4,IF($E22=9,5,IF($E22=10,5.4,IF($E22=11,6,IF($E22=12,6.4,""))))))))))))),CONCATENATE(RIGHT($K22,7),".1"))</f>
        <v>SOP.002.1</v>
      </c>
      <c r="D22" s="179" t="str">
        <f>IF(ISBLANK($K22),CONCATENATE(LEFT($B3,8),IF($E22=1,1,IF($E22=2,1.3,IF($E22=3,1.5,IF($E22=4,2,IF($E22=5,2.3,IF($E22=6,2.5,IF($E22=7,3,IF($E22=8,3.3,IF($E22=9,3.5,IF($E22=10,4,IF($E22=11,4.3,IF($E22=12,4.5,""))))))))))))),CONCATENATE(RIGHT($K22,7),".1"))</f>
        <v>SOP.002.1</v>
      </c>
      <c r="E22" s="179">
        <f t="shared" si="3"/>
        <v>1</v>
      </c>
      <c r="F22" s="179" t="str">
        <f t="shared" ref="F22" si="14">K22&amp;"."&amp;TEXT(E22,"00")</f>
        <v>ALP.BSP.SOP.002.01</v>
      </c>
      <c r="G22" s="179" t="str">
        <f>IF(ISBLANK(N22),"",CONCATENATE(LEFT(F22,15),".",INDEX(Ref!A:A,MATCH(N22,Ref!$K$1:$K$333,0))))</f>
        <v>ALP.BSP.SOP.002.2</v>
      </c>
      <c r="H22" s="217" t="s">
        <v>394</v>
      </c>
      <c r="I22" s="217" t="s">
        <v>275</v>
      </c>
      <c r="J22" s="180">
        <v>2</v>
      </c>
      <c r="K22" s="181" t="str">
        <f>IFERROR(CONCATENATE(INDEX(Ref!$Z$2:$Z$8,MATCH(H22,Ref!$AA$2:$AA$8,0)),".",I22,".SOP.",TEXT(J22,"000")),CONCATENATE(H22,".",I22,".SOP.",TEXT(J22,"000")))</f>
        <v>ALP.BSP.SOP.002</v>
      </c>
      <c r="L22" s="367" t="s">
        <v>407</v>
      </c>
      <c r="M22" s="182" t="s">
        <v>408</v>
      </c>
      <c r="N22" s="183" t="s">
        <v>94</v>
      </c>
      <c r="O22" s="182" t="s">
        <v>411</v>
      </c>
      <c r="P22" s="182" t="s">
        <v>412</v>
      </c>
      <c r="Q22" s="184" t="s">
        <v>195</v>
      </c>
      <c r="R22" s="184" t="s">
        <v>188</v>
      </c>
      <c r="S22" s="185" t="str">
        <f>IFERROR(CLEAN(INDEX('Risk Matrix'!$H$7:$L$11,MATCH($Q22,'Risk Matrix'!$F$7:$F$11,0),MATCH($R22,'Risk Matrix'!$H$6:$L$6,0))),"")</f>
        <v>Medium 2</v>
      </c>
      <c r="T22" s="85"/>
      <c r="U22" s="182" t="s">
        <v>459</v>
      </c>
      <c r="V22" s="182" t="s">
        <v>420</v>
      </c>
      <c r="W22" s="199" t="s">
        <v>421</v>
      </c>
      <c r="X22" s="199" t="s">
        <v>422</v>
      </c>
      <c r="Y22" s="182" t="s">
        <v>423</v>
      </c>
      <c r="Z22" s="182" t="s">
        <v>460</v>
      </c>
      <c r="AA22" s="186">
        <f>IFERROR(VLOOKUP(IFERROR(LEFT(S22,4),""),Ref!$AF$2:$AG$5,2,0),"")</f>
        <v>24</v>
      </c>
      <c r="AB22" s="186">
        <f>MIN($AA$22:$AA$39)</f>
        <v>24</v>
      </c>
      <c r="AC22" s="218" t="s">
        <v>289</v>
      </c>
      <c r="AD22" s="187" t="str">
        <f>IFERROR(VLOOKUP(AC22,'Training Matrix'!B$4:C$24,2,0),"")</f>
        <v>Dock Manager</v>
      </c>
      <c r="AE22" s="221">
        <v>45792</v>
      </c>
      <c r="AF22" s="188">
        <f t="shared" si="12"/>
        <v>46522</v>
      </c>
      <c r="AG22" s="189" t="str">
        <f t="shared" ca="1" si="9"/>
        <v>Current</v>
      </c>
      <c r="AH22" s="50" t="str">
        <f t="shared" ref="AH22" si="15">IF(OR(AC22="",AE22=""),"",CONCATENATE(AC22,"_",K22,"_",L22))</f>
        <v>Person 1_ALP.BSP.SOP.002_Contractor laboratory access</v>
      </c>
    </row>
    <row r="23" spans="1:34" ht="60" x14ac:dyDescent="0.25">
      <c r="A23" s="5" t="str">
        <f>IF(LEFT(F23,15)='SOP template'!$B$1,1,"")</f>
        <v/>
      </c>
      <c r="B23" s="190" t="str">
        <f t="shared" ref="B23:B134" si="16">CONCATENATE(LEFT(B22,8),E23)</f>
        <v>SOP.002.2</v>
      </c>
      <c r="C23" s="190" t="str">
        <f t="shared" ref="C23:C39" si="17">IF(ISBLANK($K23),CONCATENATE(LEFT($B22,8),IF($E23=1,1.1,IF($E23=2,1.4,IF($E23=3,2,IF($E23=4,2.4,IF($E23=5,3,IF($E23=6,3.4,IF($E23=7,4,IF($E23=8,4.4,IF($E23=9,5,IF($E23=10,5.4,IF($E23=11,6,IF($E23=12,6.4,""))))))))))))),CONCATENATE(RIGHT($K23,7),".1"))</f>
        <v>SOP.002.1.4</v>
      </c>
      <c r="D23" s="190" t="str">
        <f>IF(ISBLANK($K23),CONCATENATE(LEFT($B22,8),IF($E23=1,1,IF($E23=2,1.3,IF($E23=3,1.5,IF($E23=4,2,IF($E23=5,2.3,IF($E23=6,2.5,IF($E23=7,3,IF($E23=8,3.3,IF($E23=9,3.5,IF($E23=10,4,IF($E23=11,4.3,IF($E23=12,4.5,""))))))))))))),CONCATENATE(RIGHT($K23,7),".1"))</f>
        <v>SOP.002.1.3</v>
      </c>
      <c r="E23" s="190">
        <f t="shared" si="3"/>
        <v>2</v>
      </c>
      <c r="F23" s="190" t="str">
        <f t="shared" ref="F23:F134" si="18">IF(K23=0,LEFT(F22,16)&amp;TEXT(E23,"00"),K23&amp;"."&amp;TEXT(E23,"00"))</f>
        <v>ALP.BSP.SOP.002.02</v>
      </c>
      <c r="G23" s="190" t="str">
        <f>IF(ISBLANK(N23),"",CONCATENATE(LEFT(F23,15),".",INDEX(Ref!A:A,MATCH(N23,Ref!$K$1:$K$333,0))))</f>
        <v>ALP.BSP.SOP.002.17</v>
      </c>
      <c r="H23" s="181"/>
      <c r="I23" s="183"/>
      <c r="J23" s="180"/>
      <c r="K23" s="181"/>
      <c r="L23" s="182"/>
      <c r="M23" s="182"/>
      <c r="N23" s="183" t="s">
        <v>130</v>
      </c>
      <c r="O23" s="182" t="s">
        <v>413</v>
      </c>
      <c r="P23" s="182" t="s">
        <v>414</v>
      </c>
      <c r="Q23" s="184" t="s">
        <v>89</v>
      </c>
      <c r="R23" s="184" t="s">
        <v>91</v>
      </c>
      <c r="S23" s="185" t="str">
        <f>IFERROR(CLEAN(INDEX('Risk Matrix'!$H$7:$L$11,MATCH($Q23,'Risk Matrix'!$F$7:$F$11,0),MATCH($R23,'Risk Matrix'!$H$6:$L$6,0))),"")</f>
        <v>Low 1</v>
      </c>
      <c r="T23" s="85" t="str">
        <f>IF(LEFT($B23,7)=RIGHT('SOP template'!$B$1,7),_xlfn.NUMBERVALUE(RIGHT($S23,2)),"")</f>
        <v/>
      </c>
      <c r="U23" s="182" t="s">
        <v>461</v>
      </c>
      <c r="V23" s="182" t="s">
        <v>426</v>
      </c>
      <c r="W23" s="199" t="s">
        <v>462</v>
      </c>
      <c r="X23" s="182" t="s">
        <v>428</v>
      </c>
      <c r="Y23" s="182" t="s">
        <v>463</v>
      </c>
      <c r="Z23" s="182" t="s">
        <v>464</v>
      </c>
      <c r="AA23" s="186">
        <f>IFERROR(VLOOKUP(IFERROR(LEFT(S23,4),""),Ref!$AF$2:$AG$5,2,0),"")</f>
        <v>36</v>
      </c>
      <c r="AB23" s="186"/>
      <c r="AC23" s="218" t="s">
        <v>290</v>
      </c>
      <c r="AD23" s="187" t="str">
        <f>IFERROR(VLOOKUP(AC23,'Training Matrix'!B$4:C$24,2,0),"")</f>
        <v>WHS Team member</v>
      </c>
      <c r="AE23" s="221">
        <v>45792</v>
      </c>
      <c r="AF23" s="188">
        <f t="shared" si="12"/>
        <v>46522</v>
      </c>
      <c r="AG23" s="189" t="str">
        <f t="shared" ca="1" si="9"/>
        <v>Current</v>
      </c>
      <c r="AH23" s="50" t="str">
        <f t="shared" ref="AH23" si="19">IF(OR(AC23="",AE23=""),"",CONCATENATE(AC23,"_",K22,"_",L22))</f>
        <v>Person 2_ALP.BSP.SOP.002_Contractor laboratory access</v>
      </c>
    </row>
    <row r="24" spans="1:34" ht="45" x14ac:dyDescent="0.25">
      <c r="A24" s="5" t="str">
        <f>IF(LEFT(F24,15)='SOP template'!$B$1,1,"")</f>
        <v/>
      </c>
      <c r="B24" s="190" t="str">
        <f t="shared" si="16"/>
        <v>SOP.002.3</v>
      </c>
      <c r="C24" s="190" t="str">
        <f t="shared" si="17"/>
        <v>SOP.002.2</v>
      </c>
      <c r="D24" s="190" t="str">
        <f t="shared" ref="D24:D30" si="20">IF(ISBLANK($K24),CONCATENATE(LEFT($B23,8),IF($E24=1,1,IF($E24=2,1.3,IF($E24=3,1.5,IF($E24=4,2,IF($E24=5,2.3,IF($E24=6,2.5,IF($E24=7,3,IF($E24=8,3.3,IF($E24=9,3.5,IF($E24=10,4,IF($E24=11,4.3,IF($E24=12,4.5,""))))))))))))),CONCATENATE(RIGHT($K24,7),".1"))</f>
        <v>SOP.002.1.5</v>
      </c>
      <c r="E24" s="190">
        <f t="shared" si="3"/>
        <v>3</v>
      </c>
      <c r="F24" s="190" t="str">
        <f t="shared" si="18"/>
        <v>ALP.BSP.SOP.002.03</v>
      </c>
      <c r="G24" s="190" t="str">
        <f>IF(ISBLANK(N24),"",CONCATENATE(LEFT(F24,15),".",INDEX(Ref!A:A,MATCH(N24,Ref!$K$1:$K$333,0))))</f>
        <v>ALP.BSP.SOP.002.2</v>
      </c>
      <c r="H24" s="181"/>
      <c r="I24" s="183"/>
      <c r="J24" s="180"/>
      <c r="K24" s="181"/>
      <c r="L24" s="182"/>
      <c r="M24" s="182"/>
      <c r="N24" s="183" t="s">
        <v>94</v>
      </c>
      <c r="O24" s="182" t="s">
        <v>457</v>
      </c>
      <c r="P24" s="182" t="s">
        <v>458</v>
      </c>
      <c r="Q24" s="184" t="s">
        <v>89</v>
      </c>
      <c r="R24" s="184" t="s">
        <v>188</v>
      </c>
      <c r="S24" s="185" t="str">
        <f>IFERROR(CLEAN(INDEX('Risk Matrix'!$H$7:$L$11,MATCH($Q24,'Risk Matrix'!$F$7:$F$11,0),MATCH($R24,'Risk Matrix'!$H$6:$L$6,0))),"")</f>
        <v>Low 1</v>
      </c>
      <c r="T24" s="85" t="str">
        <f>IF(LEFT($B24,7)=RIGHT('SOP template'!$B$1,7),_xlfn.NUMBERVALUE(RIGHT($S24,2)),"")</f>
        <v/>
      </c>
      <c r="U24" s="182" t="s">
        <v>431</v>
      </c>
      <c r="V24" s="182" t="s">
        <v>432</v>
      </c>
      <c r="W24" s="199" t="s">
        <v>465</v>
      </c>
      <c r="X24" s="182" t="s">
        <v>434</v>
      </c>
      <c r="Y24" s="182" t="s">
        <v>466</v>
      </c>
      <c r="Z24" s="182" t="s">
        <v>436</v>
      </c>
      <c r="AA24" s="186">
        <f>IFERROR(VLOOKUP(IFERROR(LEFT(S24,4),""),Ref!$AF$2:$AG$5,2,0),"")</f>
        <v>36</v>
      </c>
      <c r="AB24" s="186"/>
      <c r="AC24" s="218" t="s">
        <v>167</v>
      </c>
      <c r="AD24" s="187" t="str">
        <f>IFERROR(VLOOKUP(AC24,'Training Matrix'!B$4:C$24,2,0),"")</f>
        <v>Bioscience Manager</v>
      </c>
      <c r="AE24" s="221">
        <v>45792</v>
      </c>
      <c r="AF24" s="188">
        <f t="shared" si="12"/>
        <v>46522</v>
      </c>
      <c r="AG24" s="189" t="str">
        <f t="shared" ca="1" si="9"/>
        <v>Current</v>
      </c>
      <c r="AH24" s="50" t="str">
        <f t="shared" ref="AH24" si="21">IF(OR(AC24="",AE24=""),"",CONCATENATE(AC24,"_",K22,"_",L22))</f>
        <v>Person 3_ALP.BSP.SOP.002_Contractor laboratory access</v>
      </c>
    </row>
    <row r="25" spans="1:34" ht="45" x14ac:dyDescent="0.25">
      <c r="A25" s="5" t="str">
        <f>IF(LEFT(F25,15)='SOP template'!$B$1,1,"")</f>
        <v/>
      </c>
      <c r="B25" s="190" t="str">
        <f t="shared" si="16"/>
        <v>SOP.002.4</v>
      </c>
      <c r="C25" s="190" t="str">
        <f t="shared" si="17"/>
        <v>SOP.002.2.4</v>
      </c>
      <c r="D25" s="190" t="str">
        <f t="shared" si="20"/>
        <v>SOP.002.2</v>
      </c>
      <c r="E25" s="190">
        <f t="shared" si="3"/>
        <v>4</v>
      </c>
      <c r="F25" s="190" t="str">
        <f t="shared" si="18"/>
        <v>ALP.BSP.SOP.002.04</v>
      </c>
      <c r="G25" s="190" t="str">
        <f>IF(ISBLANK(N25),"",CONCATENATE(LEFT(F25,15),".",INDEX(Ref!A:A,MATCH(N25,Ref!$K$1:$K$333,0))))</f>
        <v>ALP.BSP.SOP.002.7</v>
      </c>
      <c r="H25" s="181"/>
      <c r="I25" s="183"/>
      <c r="J25" s="180"/>
      <c r="K25" s="181"/>
      <c r="L25" s="182"/>
      <c r="M25" s="182"/>
      <c r="N25" s="183" t="s">
        <v>88</v>
      </c>
      <c r="O25" s="182" t="s">
        <v>417</v>
      </c>
      <c r="P25" s="182" t="s">
        <v>418</v>
      </c>
      <c r="Q25" s="184" t="s">
        <v>89</v>
      </c>
      <c r="R25" s="184" t="s">
        <v>188</v>
      </c>
      <c r="S25" s="185" t="str">
        <f>IFERROR(CLEAN(INDEX('Risk Matrix'!$H$7:$L$11,MATCH($Q25,'Risk Matrix'!$F$7:$F$11,0),MATCH($R25,'Risk Matrix'!$H$6:$L$6,0))),"")</f>
        <v>Low 1</v>
      </c>
      <c r="T25" s="85" t="str">
        <f>IF(LEFT($B25,7)=RIGHT('SOP template'!$B$1,7),_xlfn.NUMBERVALUE(RIGHT($S25,2)),"")</f>
        <v/>
      </c>
      <c r="U25" s="182" t="s">
        <v>437</v>
      </c>
      <c r="V25" s="182" t="s">
        <v>438</v>
      </c>
      <c r="W25" s="199" t="s">
        <v>433</v>
      </c>
      <c r="X25" s="182" t="s">
        <v>467</v>
      </c>
      <c r="Y25" s="182" t="s">
        <v>468</v>
      </c>
      <c r="Z25" s="182" t="s">
        <v>441</v>
      </c>
      <c r="AA25" s="186">
        <f>IFERROR(VLOOKUP(IFERROR(LEFT(S25,4),""),Ref!$AF$2:$AG$5,2,0),"")</f>
        <v>36</v>
      </c>
      <c r="AB25" s="186"/>
      <c r="AC25" s="218" t="s">
        <v>168</v>
      </c>
      <c r="AD25" s="187" t="str">
        <f>IFERROR(VLOOKUP(AC25,'Training Matrix'!B$4:C$24,2,0),"")</f>
        <v>Collection Manager</v>
      </c>
      <c r="AE25" s="221">
        <v>45792</v>
      </c>
      <c r="AF25" s="188">
        <f t="shared" si="12"/>
        <v>46522</v>
      </c>
      <c r="AG25" s="189" t="str">
        <f t="shared" ca="1" si="9"/>
        <v>Current</v>
      </c>
      <c r="AH25" s="50" t="str">
        <f t="shared" ref="AH25" si="22">IF(OR(AC25="",AE25=""),"",CONCATENATE(AC25,"_",K22,"_",L22))</f>
        <v>Person 4_ALP.BSP.SOP.002_Contractor laboratory access</v>
      </c>
    </row>
    <row r="26" spans="1:34" ht="60" x14ac:dyDescent="0.25">
      <c r="A26" s="5" t="str">
        <f>IF(LEFT(F26,15)='SOP template'!$B$1,1,"")</f>
        <v/>
      </c>
      <c r="B26" s="190" t="str">
        <f t="shared" si="16"/>
        <v>SOP.002.5</v>
      </c>
      <c r="C26" s="190" t="str">
        <f t="shared" si="17"/>
        <v>SOP.002.3</v>
      </c>
      <c r="D26" s="190" t="str">
        <f t="shared" si="20"/>
        <v>SOP.002.2.3</v>
      </c>
      <c r="E26" s="190">
        <f t="shared" si="3"/>
        <v>5</v>
      </c>
      <c r="F26" s="190" t="str">
        <f t="shared" si="18"/>
        <v>ALP.BSP.SOP.002.05</v>
      </c>
      <c r="G26" s="190" t="str">
        <f>IF(ISBLANK(N26),"",CONCATENATE(LEFT(F26,15),".",INDEX(Ref!A:A,MATCH(N26,Ref!$K$1:$K$333,0))))</f>
        <v>ALP.BSP.SOP.002.14</v>
      </c>
      <c r="H26" s="155"/>
      <c r="I26" s="130"/>
      <c r="J26" s="180"/>
      <c r="K26" s="155"/>
      <c r="L26" s="238"/>
      <c r="M26" s="182"/>
      <c r="N26" s="183" t="s">
        <v>127</v>
      </c>
      <c r="O26" s="182"/>
      <c r="P26" s="182"/>
      <c r="Q26" s="184"/>
      <c r="R26" s="184"/>
      <c r="S26" s="185" t="str">
        <f>IFERROR(CLEAN(INDEX('Risk Matrix'!$H$7:$L$11,MATCH($Q26,'Risk Matrix'!$F$7:$F$11,0),MATCH($R26,'Risk Matrix'!$H$6:$L$6,0))),"")</f>
        <v/>
      </c>
      <c r="T26" s="85" t="str">
        <f>IF(LEFT($B26,7)=RIGHT('SOP template'!$B$1,7),_xlfn.NUMBERVALUE(RIGHT($S26,2)),"")</f>
        <v/>
      </c>
      <c r="U26" s="182"/>
      <c r="V26" s="182" t="s">
        <v>442</v>
      </c>
      <c r="W26" s="199"/>
      <c r="X26" s="182" t="s">
        <v>469</v>
      </c>
      <c r="Y26" s="182" t="s">
        <v>470</v>
      </c>
      <c r="Z26" s="182" t="s">
        <v>445</v>
      </c>
      <c r="AA26" s="186" t="str">
        <f>IFERROR(VLOOKUP(IFERROR(LEFT(S26,4),""),Ref!$AF$2:$AG$5,2,0),"")</f>
        <v/>
      </c>
      <c r="AB26" s="186"/>
      <c r="AC26" s="218" t="s">
        <v>169</v>
      </c>
      <c r="AD26" s="187" t="str">
        <f>IFERROR(VLOOKUP(AC26,'Training Matrix'!B$4:C$24,2,0),"")</f>
        <v>Technician</v>
      </c>
      <c r="AE26" s="221">
        <v>45792</v>
      </c>
      <c r="AF26" s="188">
        <f t="shared" si="12"/>
        <v>46522</v>
      </c>
      <c r="AG26" s="189" t="str">
        <f t="shared" ca="1" si="9"/>
        <v>Current</v>
      </c>
      <c r="AH26" s="50" t="str">
        <f t="shared" ref="AH26" si="23">IF(OR(AC26="",AE26=""),"",CONCATENATE(AC26,"_",K22,"_",L22))</f>
        <v>Person 5_ALP.BSP.SOP.002_Contractor laboratory access</v>
      </c>
    </row>
    <row r="27" spans="1:34" ht="30" x14ac:dyDescent="0.25">
      <c r="A27" s="5" t="str">
        <f>IF(LEFT(F27,15)='SOP template'!$B$1,1,"")</f>
        <v/>
      </c>
      <c r="B27" s="190" t="str">
        <f t="shared" si="16"/>
        <v>SOP.002.6</v>
      </c>
      <c r="C27" s="190" t="str">
        <f t="shared" si="17"/>
        <v>SOP.002.3.4</v>
      </c>
      <c r="D27" s="190" t="str">
        <f t="shared" si="20"/>
        <v>SOP.002.2.5</v>
      </c>
      <c r="E27" s="190">
        <f t="shared" si="3"/>
        <v>6</v>
      </c>
      <c r="F27" s="190" t="str">
        <f t="shared" si="18"/>
        <v>ALP.BSP.SOP.002.06</v>
      </c>
      <c r="G27" s="190" t="str">
        <f>IF(ISBLANK(N27),"",CONCATENATE(LEFT(F27,15),".",INDEX(Ref!A:A,MATCH(N27,Ref!$K$1:$K$333,0))))</f>
        <v/>
      </c>
      <c r="H27" s="155"/>
      <c r="I27" s="130"/>
      <c r="J27" s="180"/>
      <c r="K27" s="155"/>
      <c r="L27" s="238"/>
      <c r="M27" s="182"/>
      <c r="N27" s="183"/>
      <c r="O27" s="182"/>
      <c r="P27" s="182"/>
      <c r="Q27" s="184"/>
      <c r="R27" s="184"/>
      <c r="S27" s="185" t="str">
        <f>IFERROR(CLEAN(INDEX('Risk Matrix'!$H$7:$L$11,MATCH($Q27,'Risk Matrix'!$F$7:$F$11,0),MATCH($R27,'Risk Matrix'!$H$6:$L$6,0))),"")</f>
        <v/>
      </c>
      <c r="T27" s="85" t="str">
        <f>IF(LEFT($B27,7)=RIGHT('SOP template'!$B$1,7),_xlfn.NUMBERVALUE(RIGHT($S27,2)),"")</f>
        <v/>
      </c>
      <c r="U27" s="182"/>
      <c r="V27" s="182"/>
      <c r="W27" s="199"/>
      <c r="X27" s="182" t="s">
        <v>471</v>
      </c>
      <c r="Y27" s="182" t="s">
        <v>450</v>
      </c>
      <c r="Z27" s="182" t="s">
        <v>448</v>
      </c>
      <c r="AA27" s="186" t="str">
        <f>IFERROR(VLOOKUP(IFERROR(LEFT(S27,4),""),Ref!$AF$2:$AG$5,2,0),"")</f>
        <v/>
      </c>
      <c r="AB27" s="186"/>
      <c r="AC27" s="218" t="s">
        <v>170</v>
      </c>
      <c r="AD27" s="187" t="str">
        <f>IFERROR(VLOOKUP(AC27,'Training Matrix'!B$4:C$24,2,0),"")</f>
        <v>Scientist</v>
      </c>
      <c r="AE27" s="221">
        <v>45792</v>
      </c>
      <c r="AF27" s="188">
        <f t="shared" si="12"/>
        <v>46522</v>
      </c>
      <c r="AG27" s="189" t="str">
        <f t="shared" ca="1" si="9"/>
        <v>Current</v>
      </c>
      <c r="AH27" s="50" t="str">
        <f t="shared" ref="AH27" si="24">IF(OR(AC27="",AE27=""),"",CONCATENATE(AC27,"_",K22,"_",L22))</f>
        <v>Person 6_ALP.BSP.SOP.002_Contractor laboratory access</v>
      </c>
    </row>
    <row r="28" spans="1:34" x14ac:dyDescent="0.25">
      <c r="A28" s="5" t="str">
        <f>IF(LEFT(F28,15)='SOP template'!$B$1,1,"")</f>
        <v/>
      </c>
      <c r="B28" s="190" t="str">
        <f t="shared" si="16"/>
        <v>SOP.002.7</v>
      </c>
      <c r="C28" s="190" t="str">
        <f t="shared" si="17"/>
        <v>SOP.002.4</v>
      </c>
      <c r="D28" s="190" t="str">
        <f t="shared" si="20"/>
        <v>SOP.002.3</v>
      </c>
      <c r="E28" s="190">
        <f t="shared" si="3"/>
        <v>7</v>
      </c>
      <c r="F28" s="190" t="str">
        <f t="shared" si="18"/>
        <v>ALP.BSP.SOP.002.07</v>
      </c>
      <c r="G28" s="190" t="str">
        <f>IF(ISBLANK(N28),"",CONCATENATE(LEFT(F28,15),".",INDEX(Ref!A:A,MATCH(N28,Ref!$K$1:$K$333,0))))</f>
        <v/>
      </c>
      <c r="H28" s="155"/>
      <c r="I28" s="130"/>
      <c r="J28" s="180"/>
      <c r="K28" s="155"/>
      <c r="L28" s="238"/>
      <c r="M28" s="238"/>
      <c r="N28" s="183"/>
      <c r="O28" s="182"/>
      <c r="P28" s="182"/>
      <c r="Q28" s="184"/>
      <c r="R28" s="184"/>
      <c r="S28" s="185" t="str">
        <f>IFERROR(CLEAN(INDEX('Risk Matrix'!$H$7:$L$11,MATCH($Q28,'Risk Matrix'!$F$7:$F$11,0),MATCH($R28,'Risk Matrix'!$H$6:$L$6,0))),"")</f>
        <v/>
      </c>
      <c r="T28" s="85" t="str">
        <f>IF(LEFT($B28,7)=RIGHT('SOP template'!$B$1,7),_xlfn.NUMBERVALUE(RIGHT($S28,2)),"")</f>
        <v/>
      </c>
      <c r="U28" s="182"/>
      <c r="V28" s="182"/>
      <c r="W28" s="199"/>
      <c r="X28" s="182"/>
      <c r="Y28" s="182"/>
      <c r="Z28" s="182"/>
      <c r="AA28" s="186" t="str">
        <f>IFERROR(VLOOKUP(IFERROR(LEFT(S28,4),""),Ref!$AF$2:$AG$5,2,0),"")</f>
        <v/>
      </c>
      <c r="AB28" s="186"/>
      <c r="AC28" s="218"/>
      <c r="AD28" s="187" t="str">
        <f>IFERROR(VLOOKUP(AC28,'Training Matrix'!B$4:C$24,2,0),"")</f>
        <v/>
      </c>
      <c r="AE28" s="221"/>
      <c r="AF28" s="188" t="str">
        <f t="shared" si="12"/>
        <v/>
      </c>
      <c r="AG28" s="189" t="str">
        <f t="shared" ca="1" si="9"/>
        <v/>
      </c>
      <c r="AH28" s="50" t="str">
        <f t="shared" ref="AH28" si="25">IF(OR(AC28="",AE28=""),"",CONCATENATE(AC28,"_",K22,"_",L22))</f>
        <v/>
      </c>
    </row>
    <row r="29" spans="1:34" x14ac:dyDescent="0.25">
      <c r="A29" s="5" t="str">
        <f>IF(LEFT(F29,15)='SOP template'!$B$1,1,"")</f>
        <v/>
      </c>
      <c r="B29" s="190" t="str">
        <f t="shared" si="16"/>
        <v>SOP.002.8</v>
      </c>
      <c r="C29" s="190" t="str">
        <f t="shared" si="17"/>
        <v>SOP.002.4.4</v>
      </c>
      <c r="D29" s="190" t="str">
        <f t="shared" si="20"/>
        <v>SOP.002.3.3</v>
      </c>
      <c r="E29" s="190">
        <f t="shared" si="3"/>
        <v>8</v>
      </c>
      <c r="F29" s="190" t="str">
        <f t="shared" si="18"/>
        <v>ALP.BSP.SOP.002.08</v>
      </c>
      <c r="G29" s="190" t="str">
        <f>IF(ISBLANK(N29),"",CONCATENATE(LEFT(F29,15),".",INDEX(Ref!A:A,MATCH(N29,Ref!$K$1:$K$333,0))))</f>
        <v/>
      </c>
      <c r="H29" s="155"/>
      <c r="I29" s="130"/>
      <c r="J29" s="180"/>
      <c r="K29" s="155"/>
      <c r="L29" s="238"/>
      <c r="M29" s="238"/>
      <c r="N29" s="183"/>
      <c r="O29" s="182"/>
      <c r="P29" s="182"/>
      <c r="Q29" s="184"/>
      <c r="R29" s="184"/>
      <c r="S29" s="185" t="str">
        <f>IFERROR(CLEAN(INDEX('Risk Matrix'!$H$7:$L$11,MATCH($Q29,'Risk Matrix'!$F$7:$F$11,0),MATCH($R29,'Risk Matrix'!$H$6:$L$6,0))),"")</f>
        <v/>
      </c>
      <c r="T29" s="85" t="str">
        <f>IF(LEFT($B29,7)=RIGHT('SOP template'!$B$1,7),_xlfn.NUMBERVALUE(RIGHT($S29,2)),"")</f>
        <v/>
      </c>
      <c r="U29" s="182"/>
      <c r="V29" s="182"/>
      <c r="W29" s="182"/>
      <c r="X29" s="182"/>
      <c r="Y29" s="182"/>
      <c r="Z29" s="182"/>
      <c r="AA29" s="186" t="str">
        <f>IFERROR(VLOOKUP(IFERROR(LEFT(S29,4),""),Ref!$AF$2:$AG$5,2,0),"")</f>
        <v/>
      </c>
      <c r="AB29" s="186"/>
      <c r="AC29" s="218"/>
      <c r="AD29" s="187" t="str">
        <f>IFERROR(VLOOKUP(AC29,'Training Matrix'!B$4:C$24,2,0),"")</f>
        <v/>
      </c>
      <c r="AE29" s="221"/>
      <c r="AF29" s="188" t="str">
        <f t="shared" si="12"/>
        <v/>
      </c>
      <c r="AG29" s="189" t="str">
        <f t="shared" ca="1" si="9"/>
        <v/>
      </c>
      <c r="AH29" s="50" t="str">
        <f t="shared" ref="AH29" si="26">IF(OR(AC29="",AE29=""),"",CONCATENATE(AC29,"_",K22,"_",L22))</f>
        <v/>
      </c>
    </row>
    <row r="30" spans="1:34" x14ac:dyDescent="0.25">
      <c r="A30" s="5" t="str">
        <f>IF(LEFT(F30,15)='SOP template'!$B$1,1,"")</f>
        <v/>
      </c>
      <c r="B30" s="190" t="str">
        <f t="shared" si="16"/>
        <v>SOP.002.9</v>
      </c>
      <c r="C30" s="190" t="str">
        <f t="shared" si="17"/>
        <v>SOP.002.5</v>
      </c>
      <c r="D30" s="190" t="str">
        <f t="shared" si="20"/>
        <v>SOP.002.3.5</v>
      </c>
      <c r="E30" s="190">
        <f t="shared" si="3"/>
        <v>9</v>
      </c>
      <c r="F30" s="190" t="str">
        <f t="shared" si="18"/>
        <v>ALP.BSP.SOP.002.09</v>
      </c>
      <c r="G30" s="190" t="str">
        <f>IF(ISBLANK(N30),"",CONCATENATE(LEFT(F30,15),".",INDEX(Ref!A:A,MATCH(N30,Ref!$K$1:$K$333,0))))</f>
        <v/>
      </c>
      <c r="H30" s="155"/>
      <c r="I30" s="130"/>
      <c r="J30" s="180"/>
      <c r="K30" s="155"/>
      <c r="L30" s="238"/>
      <c r="M30" s="238"/>
      <c r="N30" s="183"/>
      <c r="O30" s="182"/>
      <c r="P30" s="182"/>
      <c r="Q30" s="184"/>
      <c r="R30" s="184"/>
      <c r="S30" s="185" t="str">
        <f>IFERROR(CLEAN(INDEX('Risk Matrix'!$H$7:$L$11,MATCH($Q30,'Risk Matrix'!$F$7:$F$11,0),MATCH($R30,'Risk Matrix'!$H$6:$L$6,0))),"")</f>
        <v/>
      </c>
      <c r="T30" s="85" t="str">
        <f>IF(LEFT($B30,7)=RIGHT('SOP template'!$B$1,7),_xlfn.NUMBERVALUE(RIGHT($S30,2)),"")</f>
        <v/>
      </c>
      <c r="U30" s="182"/>
      <c r="V30" s="182"/>
      <c r="W30" s="182"/>
      <c r="X30" s="182"/>
      <c r="Y30" s="182"/>
      <c r="Z30" s="182"/>
      <c r="AA30" s="186" t="str">
        <f>IFERROR(VLOOKUP(IFERROR(LEFT(S30,4),""),Ref!$AF$2:$AG$5,2,0),"")</f>
        <v/>
      </c>
      <c r="AB30" s="186"/>
      <c r="AC30" s="218"/>
      <c r="AD30" s="187" t="str">
        <f>IFERROR(VLOOKUP(AC30,'Training Matrix'!B$4:C$24,2,0),"")</f>
        <v/>
      </c>
      <c r="AE30" s="221"/>
      <c r="AF30" s="188" t="str">
        <f t="shared" si="12"/>
        <v/>
      </c>
      <c r="AG30" s="189" t="str">
        <f t="shared" ca="1" si="9"/>
        <v/>
      </c>
      <c r="AH30" s="50" t="str">
        <f>IF(OR(AC31="",AE30=""),"",CONCATENATE(AC31,"_",K22,"_",L22))</f>
        <v/>
      </c>
    </row>
    <row r="31" spans="1:34" x14ac:dyDescent="0.25">
      <c r="A31" s="5" t="str">
        <f>IF(LEFT(F31,15)='SOP template'!$B$1,1,"")</f>
        <v/>
      </c>
      <c r="B31" s="190" t="str">
        <f t="shared" si="16"/>
        <v>SOP.002.10</v>
      </c>
      <c r="C31" s="190" t="str">
        <f t="shared" si="17"/>
        <v>SOP.002.5.4</v>
      </c>
      <c r="D31" s="190" t="str">
        <f>IF(ISBLANK($K31),CONCATENATE(LEFT($B30,8),IF($E31=1,1,IF($E31=2,1.3,IF($E31=3,1.5,IF($E31=4,2,IF($E31=5,2.3,IF($E31=6,2.5,IF($E31=7,3,IF($E31=8,3.3,IF($E31=9,3.5,IF($E31=10,4,IF($E31=11,4.3,IF($E31=12,4.5,""))))))))))))),CONCATENATE(RIGHT($K31,7),".1"))</f>
        <v>SOP.002.4</v>
      </c>
      <c r="E31" s="190">
        <f t="shared" si="3"/>
        <v>10</v>
      </c>
      <c r="F31" s="190" t="str">
        <f t="shared" si="18"/>
        <v>ALP.BSP.SOP.002.10</v>
      </c>
      <c r="G31" s="190" t="str">
        <f>IF(ISBLANK(N31),"",CONCATENATE(LEFT(F31,15),".",INDEX(Ref!A:A,MATCH(N31,Ref!$K$1:$K$333,0))))</f>
        <v/>
      </c>
      <c r="H31" s="155"/>
      <c r="I31" s="130"/>
      <c r="J31" s="180"/>
      <c r="K31" s="155"/>
      <c r="L31" s="238"/>
      <c r="M31" s="238"/>
      <c r="N31" s="183"/>
      <c r="O31" s="182"/>
      <c r="P31" s="182"/>
      <c r="Q31" s="184"/>
      <c r="R31" s="184"/>
      <c r="S31" s="185" t="str">
        <f>IFERROR(CLEAN(INDEX('Risk Matrix'!$H$7:$L$11,MATCH($Q31,'Risk Matrix'!$F$7:$F$11,0),MATCH($R31,'Risk Matrix'!$H$6:$L$6,0))),"")</f>
        <v/>
      </c>
      <c r="T31" s="85" t="str">
        <f>IF(LEFT($B31,7)=RIGHT('SOP template'!$B$1,7),_xlfn.NUMBERVALUE(RIGHT($S31,2)),"")</f>
        <v/>
      </c>
      <c r="U31" s="182"/>
      <c r="V31" s="182"/>
      <c r="W31" s="182"/>
      <c r="X31" s="182"/>
      <c r="Y31" s="182"/>
      <c r="Z31" s="182"/>
      <c r="AA31" s="186" t="str">
        <f>IFERROR(VLOOKUP(IFERROR(LEFT(S31,4),""),Ref!$AF$2:$AG$5,2,0),"")</f>
        <v/>
      </c>
      <c r="AB31" s="186"/>
      <c r="AC31" s="218"/>
      <c r="AD31" s="187" t="str">
        <f>IFERROR(VLOOKUP(AC31,'Training Matrix'!B$4:C$24,2,0),"")</f>
        <v/>
      </c>
      <c r="AE31" s="221"/>
      <c r="AF31" s="188" t="str">
        <f t="shared" si="12"/>
        <v/>
      </c>
      <c r="AG31" s="189" t="str">
        <f t="shared" ca="1" si="9"/>
        <v/>
      </c>
      <c r="AH31" s="50" t="str">
        <f>IF(OR(AC32="",AE31=""),"",CONCATENATE(AC32,"_",K22,"_",L22))</f>
        <v/>
      </c>
    </row>
    <row r="32" spans="1:34" x14ac:dyDescent="0.25">
      <c r="A32" s="5" t="str">
        <f>IF(LEFT(F32,15)='SOP template'!$B$1,1,"")</f>
        <v/>
      </c>
      <c r="B32" s="190" t="str">
        <f t="shared" ref="B32:B39" si="27">CONCATENATE(LEFT(B31,8),E32)</f>
        <v>SOP.002.11</v>
      </c>
      <c r="C32" s="190" t="str">
        <f t="shared" si="17"/>
        <v>SOP.002.6</v>
      </c>
      <c r="D32" s="190" t="str">
        <f t="shared" ref="D32:D39" si="28">IF(ISBLANK($K32),CONCATENATE(LEFT($B31,8),IF($E32=1,1,IF($E32=2,1.3,IF($E32=3,1.5,IF($E32=4,2,IF($E32=5,2.3,IF($E32=6,2.5,IF($E32=7,3,IF($E32=8,3.3,IF($E32=9,3.5,IF($E32=10,4,IF($E32=11,4.3,IF($E32=12,4.5,""))))))))))))),CONCATENATE(RIGHT($K32,7),".1"))</f>
        <v>SOP.002.4.3</v>
      </c>
      <c r="E32" s="190">
        <f t="shared" si="3"/>
        <v>11</v>
      </c>
      <c r="F32" s="190" t="str">
        <f t="shared" ref="F32:F39" si="29">IF(K32=0,LEFT(F31,16)&amp;TEXT(E32,"00"),K32&amp;"."&amp;TEXT(E32,"00"))</f>
        <v>ALP.BSP.SOP.002.11</v>
      </c>
      <c r="G32" s="190" t="str">
        <f>IF(ISBLANK(N32),"",CONCATENATE(LEFT(F32,15),".",INDEX(Ref!A:A,MATCH(N32,Ref!$K$1:$K$333,0))))</f>
        <v/>
      </c>
      <c r="H32" s="155"/>
      <c r="I32" s="130"/>
      <c r="J32" s="180"/>
      <c r="K32" s="155"/>
      <c r="L32" s="238"/>
      <c r="M32" s="238"/>
      <c r="N32" s="183"/>
      <c r="O32" s="182"/>
      <c r="P32" s="182"/>
      <c r="Q32" s="184"/>
      <c r="R32" s="184"/>
      <c r="S32" s="185" t="str">
        <f>IFERROR(CLEAN(INDEX('Risk Matrix'!$H$7:$L$11,MATCH($Q32,'Risk Matrix'!$F$7:$F$11,0),MATCH($R32,'Risk Matrix'!$H$6:$L$6,0))),"")</f>
        <v/>
      </c>
      <c r="T32" s="85" t="str">
        <f>IF(LEFT($B32,7)=RIGHT('SOP template'!$B$1,7),_xlfn.NUMBERVALUE(RIGHT($S32,2)),"")</f>
        <v/>
      </c>
      <c r="U32" s="182"/>
      <c r="V32" s="182"/>
      <c r="W32" s="182"/>
      <c r="X32" s="182"/>
      <c r="Y32" s="182"/>
      <c r="Z32" s="182"/>
      <c r="AA32" s="186" t="str">
        <f>IFERROR(VLOOKUP(IFERROR(LEFT(S32,4),""),Ref!$AF$2:$AG$5,2,0),"")</f>
        <v/>
      </c>
      <c r="AB32" s="186"/>
      <c r="AC32" s="218"/>
      <c r="AD32" s="187" t="str">
        <f>IFERROR(VLOOKUP(AC32,'Training Matrix'!B$4:C$24,2,0),"")</f>
        <v/>
      </c>
      <c r="AE32" s="221"/>
      <c r="AF32" s="188" t="str">
        <f t="shared" si="12"/>
        <v/>
      </c>
      <c r="AG32" s="189" t="str">
        <f t="shared" ca="1" si="9"/>
        <v/>
      </c>
      <c r="AH32" s="50" t="str">
        <f>IF(OR(AC33="",AE32=""),"",CONCATENATE(AC33,"_",K22,"_",L22))</f>
        <v/>
      </c>
    </row>
    <row r="33" spans="1:34" x14ac:dyDescent="0.25">
      <c r="A33" s="5" t="str">
        <f>IF(LEFT(F33,15)='SOP template'!$B$1,1,"")</f>
        <v/>
      </c>
      <c r="B33" s="190" t="str">
        <f t="shared" si="27"/>
        <v>SOP.002.12</v>
      </c>
      <c r="C33" s="190" t="str">
        <f t="shared" si="17"/>
        <v>SOP.002.6.4</v>
      </c>
      <c r="D33" s="190" t="str">
        <f t="shared" si="28"/>
        <v>SOP.002.4.5</v>
      </c>
      <c r="E33" s="190">
        <f t="shared" si="3"/>
        <v>12</v>
      </c>
      <c r="F33" s="190" t="str">
        <f t="shared" si="29"/>
        <v>ALP.BSP.SOP.002.12</v>
      </c>
      <c r="G33" s="190" t="str">
        <f>IF(ISBLANK(N33),"",CONCATENATE(LEFT(F33,15),".",INDEX(Ref!A:A,MATCH(N33,Ref!$K$1:$K$333,0))))</f>
        <v/>
      </c>
      <c r="H33" s="155"/>
      <c r="I33" s="130"/>
      <c r="J33" s="180"/>
      <c r="K33" s="155"/>
      <c r="L33" s="238"/>
      <c r="M33" s="238"/>
      <c r="N33" s="183"/>
      <c r="O33" s="182"/>
      <c r="P33" s="182"/>
      <c r="Q33" s="184"/>
      <c r="R33" s="184"/>
      <c r="S33" s="185" t="str">
        <f>IFERROR(CLEAN(INDEX('Risk Matrix'!$H$7:$L$11,MATCH($Q33,'Risk Matrix'!$F$7:$F$11,0),MATCH($R33,'Risk Matrix'!$H$6:$L$6,0))),"")</f>
        <v/>
      </c>
      <c r="T33" s="85" t="str">
        <f>IF(LEFT($B33,7)=RIGHT('SOP template'!$B$1,7),_xlfn.NUMBERVALUE(RIGHT($S33,2)),"")</f>
        <v/>
      </c>
      <c r="U33" s="182"/>
      <c r="V33" s="182"/>
      <c r="W33" s="182"/>
      <c r="X33" s="182"/>
      <c r="Y33" s="182"/>
      <c r="Z33" s="182"/>
      <c r="AA33" s="186" t="str">
        <f>IFERROR(VLOOKUP(IFERROR(LEFT(S33,4),""),Ref!$AF$2:$AG$5,2,0),"")</f>
        <v/>
      </c>
      <c r="AB33" s="186"/>
      <c r="AC33" s="218"/>
      <c r="AD33" s="187" t="str">
        <f>IFERROR(VLOOKUP(AC33,'Training Matrix'!B$4:C$24,2,0),"")</f>
        <v/>
      </c>
      <c r="AE33" s="221"/>
      <c r="AF33" s="188" t="str">
        <f t="shared" si="12"/>
        <v/>
      </c>
      <c r="AG33" s="189" t="str">
        <f t="shared" ca="1" si="9"/>
        <v/>
      </c>
      <c r="AH33" s="50" t="str">
        <f>IF(OR(AC34="",AE33=""),"",CONCATENATE(AC34,"_",K22,"_",L22))</f>
        <v/>
      </c>
    </row>
    <row r="34" spans="1:34" x14ac:dyDescent="0.25">
      <c r="A34" s="5" t="str">
        <f>IF(LEFT(F34,15)='SOP template'!$B$1,1,"")</f>
        <v/>
      </c>
      <c r="B34" s="190" t="str">
        <f t="shared" si="27"/>
        <v>SOP.002.13</v>
      </c>
      <c r="C34" s="190" t="str">
        <f t="shared" si="17"/>
        <v>SOP.002.</v>
      </c>
      <c r="D34" s="190" t="str">
        <f t="shared" si="28"/>
        <v>SOP.002.</v>
      </c>
      <c r="E34" s="190">
        <f t="shared" si="3"/>
        <v>13</v>
      </c>
      <c r="F34" s="190" t="str">
        <f t="shared" si="29"/>
        <v>ALP.BSP.SOP.002.13</v>
      </c>
      <c r="G34" s="190" t="str">
        <f>IF(ISBLANK(N34),"",CONCATENATE(LEFT(F34,15),".",INDEX(Ref!A:A,MATCH(N34,Ref!$K$1:$K$333,0))))</f>
        <v/>
      </c>
      <c r="H34" s="155"/>
      <c r="I34" s="130"/>
      <c r="J34" s="180"/>
      <c r="K34" s="155"/>
      <c r="L34" s="238"/>
      <c r="M34" s="238"/>
      <c r="N34" s="183"/>
      <c r="O34" s="182"/>
      <c r="P34" s="182"/>
      <c r="Q34" s="184"/>
      <c r="R34" s="184"/>
      <c r="S34" s="185" t="str">
        <f>IFERROR(CLEAN(INDEX('Risk Matrix'!$H$7:$L$11,MATCH($Q34,'Risk Matrix'!$F$7:$F$11,0),MATCH($R34,'Risk Matrix'!$H$6:$L$6,0))),"")</f>
        <v/>
      </c>
      <c r="T34" s="85" t="str">
        <f>IF(LEFT($B34,7)=RIGHT('SOP template'!$B$1,7),_xlfn.NUMBERVALUE(RIGHT($S34,2)),"")</f>
        <v/>
      </c>
      <c r="U34" s="182"/>
      <c r="V34" s="182"/>
      <c r="W34" s="182"/>
      <c r="X34" s="182"/>
      <c r="Y34" s="182"/>
      <c r="Z34" s="182"/>
      <c r="AA34" s="186" t="str">
        <f>IFERROR(VLOOKUP(IFERROR(LEFT(S34,4),""),Ref!$AF$2:$AG$5,2,0),"")</f>
        <v/>
      </c>
      <c r="AB34" s="186"/>
      <c r="AC34" s="218"/>
      <c r="AD34" s="187" t="str">
        <f>IFERROR(VLOOKUP(AC34,'Training Matrix'!B$4:C$24,2,0),"")</f>
        <v/>
      </c>
      <c r="AE34" s="221"/>
      <c r="AF34" s="188" t="str">
        <f t="shared" si="12"/>
        <v/>
      </c>
      <c r="AG34" s="189" t="str">
        <f t="shared" ca="1" si="9"/>
        <v/>
      </c>
      <c r="AH34" s="50" t="str">
        <f>IF(OR(AC35="",AE34=""),"",CONCATENATE(AC35,"_",K22,"_",L22))</f>
        <v/>
      </c>
    </row>
    <row r="35" spans="1:34" x14ac:dyDescent="0.25">
      <c r="A35" s="5" t="str">
        <f>IF(LEFT(F35,15)='SOP template'!$B$1,1,"")</f>
        <v/>
      </c>
      <c r="B35" s="190" t="str">
        <f t="shared" si="27"/>
        <v>SOP.002.14</v>
      </c>
      <c r="C35" s="190" t="str">
        <f t="shared" si="17"/>
        <v>SOP.002.</v>
      </c>
      <c r="D35" s="190" t="str">
        <f t="shared" si="28"/>
        <v>SOP.002.</v>
      </c>
      <c r="E35" s="190">
        <f t="shared" si="3"/>
        <v>14</v>
      </c>
      <c r="F35" s="190" t="str">
        <f t="shared" si="29"/>
        <v>ALP.BSP.SOP.002.14</v>
      </c>
      <c r="G35" s="190" t="str">
        <f>IF(ISBLANK(N35),"",CONCATENATE(LEFT(F35,15),".",INDEX(Ref!A:A,MATCH(N35,Ref!$K$1:$K$333,0))))</f>
        <v/>
      </c>
      <c r="H35" s="155"/>
      <c r="I35" s="130"/>
      <c r="J35" s="180"/>
      <c r="K35" s="155"/>
      <c r="L35" s="238"/>
      <c r="M35" s="238"/>
      <c r="N35" s="183"/>
      <c r="O35" s="182"/>
      <c r="P35" s="182"/>
      <c r="Q35" s="184"/>
      <c r="R35" s="184"/>
      <c r="S35" s="185" t="str">
        <f>IFERROR(CLEAN(INDEX('Risk Matrix'!$H$7:$L$11,MATCH($Q35,'Risk Matrix'!$F$7:$F$11,0),MATCH($R35,'Risk Matrix'!$H$6:$L$6,0))),"")</f>
        <v/>
      </c>
      <c r="T35" s="85" t="str">
        <f>IF(LEFT($B35,7)=RIGHT('SOP template'!$B$1,7),_xlfn.NUMBERVALUE(RIGHT($S35,2)),"")</f>
        <v/>
      </c>
      <c r="U35" s="182"/>
      <c r="V35" s="182"/>
      <c r="W35" s="182"/>
      <c r="X35" s="182"/>
      <c r="Y35" s="182"/>
      <c r="Z35" s="182"/>
      <c r="AA35" s="186" t="str">
        <f>IFERROR(VLOOKUP(IFERROR(LEFT(S35,4),""),Ref!$AF$2:$AG$5,2,0),"")</f>
        <v/>
      </c>
      <c r="AB35" s="186"/>
      <c r="AC35" s="218"/>
      <c r="AD35" s="187" t="str">
        <f>IFERROR(VLOOKUP(AC35,'Training Matrix'!B$4:C$24,2,0),"")</f>
        <v/>
      </c>
      <c r="AE35" s="218"/>
      <c r="AF35" s="188" t="str">
        <f t="shared" si="12"/>
        <v/>
      </c>
      <c r="AG35" s="189" t="str">
        <f t="shared" ca="1" si="9"/>
        <v/>
      </c>
      <c r="AH35" s="50" t="e">
        <f>IF(OR(#REF!="",AE35=""),"",CONCATENATE(#REF!,"_",K22,"_",L22))</f>
        <v>#REF!</v>
      </c>
    </row>
    <row r="36" spans="1:34" x14ac:dyDescent="0.25">
      <c r="A36" s="5" t="str">
        <f>IF(LEFT(F36,15)='SOP template'!$B$1,1,"")</f>
        <v/>
      </c>
      <c r="B36" s="190" t="str">
        <f t="shared" si="27"/>
        <v>SOP.002.15</v>
      </c>
      <c r="C36" s="190" t="str">
        <f t="shared" si="17"/>
        <v>SOP.002.</v>
      </c>
      <c r="D36" s="190" t="str">
        <f t="shared" si="28"/>
        <v>SOP.002.</v>
      </c>
      <c r="E36" s="190">
        <f t="shared" si="3"/>
        <v>15</v>
      </c>
      <c r="F36" s="190" t="str">
        <f t="shared" si="29"/>
        <v>ALP.BSP.SOP.002.15</v>
      </c>
      <c r="G36" s="190" t="str">
        <f>IF(ISBLANK(N36),"",CONCATENATE(LEFT(F36,15),".",INDEX(Ref!A:A,MATCH(N36,Ref!$K$1:$K$333,0))))</f>
        <v/>
      </c>
      <c r="H36" s="155"/>
      <c r="I36" s="130"/>
      <c r="J36" s="180"/>
      <c r="K36" s="155"/>
      <c r="L36" s="238"/>
      <c r="M36" s="238"/>
      <c r="N36" s="183"/>
      <c r="O36" s="182"/>
      <c r="P36" s="182"/>
      <c r="Q36" s="184"/>
      <c r="R36" s="184"/>
      <c r="S36" s="185" t="str">
        <f>IFERROR(CLEAN(INDEX('Risk Matrix'!$H$7:$L$11,MATCH($Q36,'Risk Matrix'!$F$7:$F$11,0),MATCH($R36,'Risk Matrix'!$H$6:$L$6,0))),"")</f>
        <v/>
      </c>
      <c r="T36" s="85" t="str">
        <f>IF(LEFT($B36,7)=RIGHT('SOP template'!$B$1,7),_xlfn.NUMBERVALUE(RIGHT($S36,2)),"")</f>
        <v/>
      </c>
      <c r="U36" s="182"/>
      <c r="V36" s="182"/>
      <c r="W36" s="182"/>
      <c r="X36" s="182"/>
      <c r="Y36" s="182"/>
      <c r="Z36" s="182"/>
      <c r="AA36" s="186" t="str">
        <f>IFERROR(VLOOKUP(IFERROR(LEFT(S36,4),""),Ref!$AF$2:$AG$5,2,0),"")</f>
        <v/>
      </c>
      <c r="AB36" s="186"/>
      <c r="AC36" s="218"/>
      <c r="AD36" s="187" t="str">
        <f>IFERROR(VLOOKUP(AC36,'Training Matrix'!B$4:C$24,2,0),"")</f>
        <v/>
      </c>
      <c r="AE36" s="218"/>
      <c r="AF36" s="188" t="str">
        <f t="shared" si="12"/>
        <v/>
      </c>
      <c r="AG36" s="189" t="str">
        <f t="shared" ca="1" si="9"/>
        <v/>
      </c>
      <c r="AH36" s="50" t="str">
        <f t="shared" ref="AH36" si="30">IF(OR(AC36="",AE36=""),"",CONCATENATE(AC36,"_",K22,"_",L22))</f>
        <v/>
      </c>
    </row>
    <row r="37" spans="1:34" x14ac:dyDescent="0.25">
      <c r="A37" s="5" t="str">
        <f>IF(LEFT(F37,15)='SOP template'!$B$1,1,"")</f>
        <v/>
      </c>
      <c r="B37" s="190" t="str">
        <f t="shared" si="27"/>
        <v>SOP.002.16</v>
      </c>
      <c r="C37" s="190" t="str">
        <f t="shared" si="17"/>
        <v>SOP.002.</v>
      </c>
      <c r="D37" s="190" t="str">
        <f t="shared" si="28"/>
        <v>SOP.002.</v>
      </c>
      <c r="E37" s="190">
        <f t="shared" si="3"/>
        <v>16</v>
      </c>
      <c r="F37" s="190" t="str">
        <f t="shared" si="29"/>
        <v>ALP.BSP.SOP.002.16</v>
      </c>
      <c r="G37" s="190" t="str">
        <f>IF(ISBLANK(N37),"",CONCATENATE(LEFT(F37,15),".",INDEX(Ref!A:A,MATCH(N37,Ref!$K$1:$K$333,0))))</f>
        <v/>
      </c>
      <c r="H37" s="155"/>
      <c r="I37" s="130"/>
      <c r="J37" s="180"/>
      <c r="K37" s="155"/>
      <c r="L37" s="238"/>
      <c r="M37" s="238"/>
      <c r="N37" s="183"/>
      <c r="O37" s="182"/>
      <c r="P37" s="182"/>
      <c r="Q37" s="184"/>
      <c r="R37" s="184"/>
      <c r="S37" s="185" t="str">
        <f>IFERROR(CLEAN(INDEX('Risk Matrix'!$H$7:$L$11,MATCH($Q37,'Risk Matrix'!$F$7:$F$11,0),MATCH($R37,'Risk Matrix'!$H$6:$L$6,0))),"")</f>
        <v/>
      </c>
      <c r="T37" s="85" t="str">
        <f>IF(LEFT($B37,7)=RIGHT('SOP template'!$B$1,7),_xlfn.NUMBERVALUE(RIGHT($S37,2)),"")</f>
        <v/>
      </c>
      <c r="U37" s="182"/>
      <c r="V37" s="182"/>
      <c r="W37" s="182"/>
      <c r="X37" s="182"/>
      <c r="Y37" s="182"/>
      <c r="Z37" s="182"/>
      <c r="AA37" s="186" t="str">
        <f>IFERROR(VLOOKUP(IFERROR(LEFT(S37,4),""),Ref!$AF$2:$AG$5,2,0),"")</f>
        <v/>
      </c>
      <c r="AB37" s="186"/>
      <c r="AC37" s="218"/>
      <c r="AD37" s="187" t="str">
        <f>IFERROR(VLOOKUP(AC37,'Training Matrix'!B$4:C$24,2,0),"")</f>
        <v/>
      </c>
      <c r="AE37" s="218"/>
      <c r="AF37" s="188" t="str">
        <f t="shared" si="12"/>
        <v/>
      </c>
      <c r="AG37" s="189" t="str">
        <f t="shared" ca="1" si="9"/>
        <v/>
      </c>
      <c r="AH37" s="50" t="str">
        <f t="shared" ref="AH37" si="31">IF(OR(AC37="",AE37=""),"",CONCATENATE(AC37,"_",K22,"_",L22))</f>
        <v/>
      </c>
    </row>
    <row r="38" spans="1:34" x14ac:dyDescent="0.25">
      <c r="A38" s="5" t="str">
        <f>IF(LEFT(F38,15)='SOP template'!$B$1,1,"")</f>
        <v/>
      </c>
      <c r="B38" s="190" t="str">
        <f t="shared" si="27"/>
        <v>SOP.002.17</v>
      </c>
      <c r="C38" s="190" t="str">
        <f t="shared" si="17"/>
        <v>SOP.002.</v>
      </c>
      <c r="D38" s="190" t="str">
        <f t="shared" si="28"/>
        <v>SOP.002.</v>
      </c>
      <c r="E38" s="190">
        <f t="shared" si="3"/>
        <v>17</v>
      </c>
      <c r="F38" s="190" t="str">
        <f t="shared" si="29"/>
        <v>ALP.BSP.SOP.002.17</v>
      </c>
      <c r="G38" s="190" t="str">
        <f>IF(ISBLANK(N38),"",CONCATENATE(LEFT(F38,15),".",INDEX(Ref!A:A,MATCH(N38,Ref!$K$1:$K$333,0))))</f>
        <v/>
      </c>
      <c r="H38" s="155"/>
      <c r="I38" s="130"/>
      <c r="J38" s="180"/>
      <c r="K38" s="155"/>
      <c r="L38" s="238"/>
      <c r="M38" s="238"/>
      <c r="N38" s="183"/>
      <c r="O38" s="182"/>
      <c r="P38" s="182"/>
      <c r="Q38" s="184"/>
      <c r="R38" s="184"/>
      <c r="S38" s="185" t="str">
        <f>IFERROR(CLEAN(INDEX('Risk Matrix'!$H$7:$L$11,MATCH($Q38,'Risk Matrix'!$F$7:$F$11,0),MATCH($R38,'Risk Matrix'!$H$6:$L$6,0))),"")</f>
        <v/>
      </c>
      <c r="T38" s="85" t="str">
        <f>IF(LEFT($B38,7)=RIGHT('SOP template'!$B$1,7),_xlfn.NUMBERVALUE(RIGHT($S38,2)),"")</f>
        <v/>
      </c>
      <c r="U38" s="182"/>
      <c r="V38" s="182"/>
      <c r="W38" s="182"/>
      <c r="X38" s="182"/>
      <c r="Y38" s="182"/>
      <c r="Z38" s="182"/>
      <c r="AA38" s="186" t="str">
        <f>IFERROR(VLOOKUP(IFERROR(LEFT(S38,4),""),Ref!$AF$2:$AG$5,2,0),"")</f>
        <v/>
      </c>
      <c r="AB38" s="186"/>
      <c r="AC38" s="218"/>
      <c r="AD38" s="187" t="str">
        <f>IFERROR(VLOOKUP(AC38,'Training Matrix'!B$4:C$24,2,0),"")</f>
        <v/>
      </c>
      <c r="AE38" s="218"/>
      <c r="AF38" s="188" t="str">
        <f t="shared" si="12"/>
        <v/>
      </c>
      <c r="AG38" s="189" t="str">
        <f t="shared" ca="1" si="9"/>
        <v/>
      </c>
      <c r="AH38" s="50" t="str">
        <f t="shared" ref="AH38" si="32">IF(OR(AC38="",AE38=""),"",CONCATENATE(AC38,"_",K22,"_",L22))</f>
        <v/>
      </c>
    </row>
    <row r="39" spans="1:34" x14ac:dyDescent="0.25">
      <c r="A39" s="5" t="str">
        <f>IF(LEFT(F39,15)='SOP template'!$B$1,1,"")</f>
        <v/>
      </c>
      <c r="B39" s="190" t="str">
        <f t="shared" si="27"/>
        <v>SOP.002.18</v>
      </c>
      <c r="C39" s="190" t="str">
        <f t="shared" si="17"/>
        <v>SOP.002.</v>
      </c>
      <c r="D39" s="190" t="str">
        <f t="shared" si="28"/>
        <v>SOP.002.</v>
      </c>
      <c r="E39" s="190">
        <f t="shared" si="3"/>
        <v>18</v>
      </c>
      <c r="F39" s="190" t="str">
        <f t="shared" si="29"/>
        <v>ALP.BSP.SOP.002.18</v>
      </c>
      <c r="G39" s="190" t="str">
        <f>IF(ISBLANK(N39),"",CONCATENATE(LEFT(F39,15),".",INDEX(Ref!A:A,MATCH(N39,Ref!$K$1:$K$333,0))))</f>
        <v/>
      </c>
      <c r="H39" s="155"/>
      <c r="I39" s="130"/>
      <c r="J39" s="180"/>
      <c r="K39" s="155"/>
      <c r="L39" s="238"/>
      <c r="M39" s="238"/>
      <c r="N39" s="183"/>
      <c r="O39" s="182"/>
      <c r="P39" s="182"/>
      <c r="Q39" s="184"/>
      <c r="R39" s="184"/>
      <c r="S39" s="185" t="str">
        <f>IFERROR(CLEAN(INDEX('Risk Matrix'!$H$7:$L$11,MATCH($Q39,'Risk Matrix'!$F$7:$F$11,0),MATCH($R39,'Risk Matrix'!$H$6:$L$6,0))),"")</f>
        <v/>
      </c>
      <c r="T39" s="85" t="str">
        <f>IF(LEFT($B39,7)=RIGHT('SOP template'!$B$1,7),_xlfn.NUMBERVALUE(RIGHT($S39,2)),"")</f>
        <v/>
      </c>
      <c r="U39" s="182"/>
      <c r="V39" s="182"/>
      <c r="W39" s="182"/>
      <c r="X39" s="182"/>
      <c r="Y39" s="182"/>
      <c r="Z39" s="182"/>
      <c r="AA39" s="186" t="str">
        <f>IFERROR(VLOOKUP(IFERROR(LEFT(S39,4),""),Ref!$AF$2:$AG$5,2,0),"")</f>
        <v/>
      </c>
      <c r="AB39" s="186"/>
      <c r="AC39" s="218"/>
      <c r="AD39" s="187" t="str">
        <f>IFERROR(VLOOKUP(AC39,'Training Matrix'!B$4:C$24,2,0),"")</f>
        <v/>
      </c>
      <c r="AE39" s="218"/>
      <c r="AF39" s="188" t="str">
        <f t="shared" si="12"/>
        <v/>
      </c>
      <c r="AG39" s="189" t="str">
        <f t="shared" ca="1" si="9"/>
        <v/>
      </c>
      <c r="AH39" s="50" t="str">
        <f t="shared" ref="AH39" si="33">IF(OR(AC39="",AE39=""),"",CONCATENATE(AC39,"_",K22,"_",L22))</f>
        <v/>
      </c>
    </row>
    <row r="40" spans="1:34" ht="120" x14ac:dyDescent="0.25">
      <c r="A40" s="5" t="str">
        <f>IF(LEFT(F40,15)='SOP template'!$B$1,1,"")</f>
        <v/>
      </c>
      <c r="B40" s="179" t="str">
        <f t="shared" ref="B40" si="34">IF(ISBLANK($K40),CONCATENATE($B$2,".",TEXT(J40,"000"),".",$E40),CONCATENATE(RIGHT($K40,7),".1"))</f>
        <v>SOP.003.1</v>
      </c>
      <c r="C40" s="179" t="str">
        <f>IF(ISBLANK($K40),CONCATENATE(LEFT($B27,8),IF($E40=1,1.1,IF($E40=2,1.4,IF($E40=3,2,IF($E40=4,2.4,IF($E40=5,3,IF($E40=6,3.4,IF($E40=7,4,IF($E40=8,4.4,IF($E40=9,5,IF($E40=10,5.4,IF($E40=11,6,IF($E40=12,6.4,""))))))))))))),CONCATENATE(RIGHT($K40,7),".1"))</f>
        <v>SOP.003.1</v>
      </c>
      <c r="D40" s="179" t="str">
        <f>IF(ISBLANK($K40),CONCATENATE(LEFT($B27,8),IF($E40=1,1,IF($E40=2,1.3,IF($E40=3,1.5,IF($E40=4,2,IF($E40=5,2.3,IF($E40=6,2.5,IF($E40=7,3,IF($E40=8,3.3,IF($E40=9,3.5,IF($E40=10,4,IF($E40=11,4.3,IF($E40=12,4.5,""))))))))))))),CONCATENATE(RIGHT($K40,7),".1"))</f>
        <v>SOP.003.1</v>
      </c>
      <c r="E40" s="179">
        <f t="shared" si="3"/>
        <v>1</v>
      </c>
      <c r="F40" s="179" t="str">
        <f t="shared" ref="F40" si="35">K40&amp;"."&amp;TEXT(E40,"00")</f>
        <v>ALP.BSP.SOP.003.01</v>
      </c>
      <c r="G40" s="179" t="str">
        <f>IF(ISBLANK(N40),"",CONCATENATE(LEFT(F40,15),".",INDEX(Ref!A:A,MATCH(N40,Ref!$K$1:$K$333,0))))</f>
        <v>ALP.BSP.SOP.003.1</v>
      </c>
      <c r="H40" s="217" t="s">
        <v>394</v>
      </c>
      <c r="I40" s="217" t="s">
        <v>275</v>
      </c>
      <c r="J40" s="180">
        <v>3</v>
      </c>
      <c r="K40" s="181" t="str">
        <f>IFERROR(CONCATENATE(INDEX(Ref!$Z$2:$Z$8,MATCH(H40,Ref!$AA$2:$AA$8,0)),".",I40,".SOP.",TEXT(J40,"000")),CONCATENATE(H40,".",I40,".SOP.",TEXT(J40,"000")))</f>
        <v>ALP.BSP.SOP.003</v>
      </c>
      <c r="L40" s="367" t="s">
        <v>409</v>
      </c>
      <c r="M40" s="182" t="s">
        <v>410</v>
      </c>
      <c r="N40" s="183" t="s">
        <v>117</v>
      </c>
      <c r="O40" s="182" t="s">
        <v>411</v>
      </c>
      <c r="P40" s="182" t="s">
        <v>497</v>
      </c>
      <c r="Q40" s="184" t="s">
        <v>92</v>
      </c>
      <c r="R40" s="184" t="s">
        <v>90</v>
      </c>
      <c r="S40" s="185" t="str">
        <f>IFERROR(CLEAN(INDEX('Risk Matrix'!$H$7:$L$11,MATCH($Q40,'Risk Matrix'!$F$7:$F$11,0),MATCH($R40,'Risk Matrix'!$H$6:$L$6,0))),"")</f>
        <v>Medium 2</v>
      </c>
      <c r="T40" s="85" t="str">
        <f>IF(LEFT($B40,7)=RIGHT('SOP template'!$B$1,7),_xlfn.NUMBERVALUE(RIGHT($S40,2)),"")</f>
        <v/>
      </c>
      <c r="U40" s="182" t="s">
        <v>496</v>
      </c>
      <c r="V40" s="182" t="s">
        <v>472</v>
      </c>
      <c r="W40" s="199" t="s">
        <v>473</v>
      </c>
      <c r="X40" s="182" t="s">
        <v>474</v>
      </c>
      <c r="Y40" s="182" t="s">
        <v>475</v>
      </c>
      <c r="Z40" s="182" t="s">
        <v>476</v>
      </c>
      <c r="AA40" s="186">
        <f>IFERROR(VLOOKUP(IFERROR(LEFT(S40,4),""),Ref!$AF$2:$AG$5,2,0),"")</f>
        <v>24</v>
      </c>
      <c r="AB40" s="186">
        <f>MIN($AA$40:$AA$57)</f>
        <v>24</v>
      </c>
      <c r="AC40" s="218" t="s">
        <v>289</v>
      </c>
      <c r="AD40" s="187" t="str">
        <f>IFERROR(VLOOKUP(AC40,'Training Matrix'!B$4:C$24,2,0),"")</f>
        <v>Dock Manager</v>
      </c>
      <c r="AE40" s="221">
        <v>45792</v>
      </c>
      <c r="AF40" s="188">
        <f t="shared" si="12"/>
        <v>46522</v>
      </c>
      <c r="AG40" s="189" t="str">
        <f t="shared" ca="1" si="9"/>
        <v>Current</v>
      </c>
      <c r="AH40" s="50" t="str">
        <f t="shared" ref="AH40" si="36">IF(OR(AC40="",AE40=""),"",CONCATENATE(AC40,"_",K40,"_",L40))</f>
        <v>Person 1_ALP.BSP.SOP.003_Receiving and moving biological specimens</v>
      </c>
    </row>
    <row r="41" spans="1:34" ht="60" x14ac:dyDescent="0.25">
      <c r="A41" s="5" t="str">
        <f>IF(LEFT(F41,15)='SOP template'!$B$1,1,"")</f>
        <v/>
      </c>
      <c r="B41" s="190" t="str">
        <f t="shared" ref="B41" si="37">CONCATENATE(LEFT(B40,8),E41)</f>
        <v>SOP.003.2</v>
      </c>
      <c r="C41" s="190" t="str">
        <f>IF(ISBLANK($K41),CONCATENATE(LEFT($B40,8),IF($E41=1,1.1,IF($E41=2,1.4,IF($E41=3,2,IF($E41=4,2.4,IF($E41=5,3,IF($E41=6,3.4,IF($E41=7,4,IF($E41=8,4.4,IF($E41=9,5,IF($E41=10,5.4,IF($E41=11,6,IF($E41=12,6.4,""))))))))))))),CONCATENATE(RIGHT($K41,7),".1"))</f>
        <v>SOP.003.1.4</v>
      </c>
      <c r="D41" s="190" t="str">
        <f>IF(ISBLANK($K41),CONCATENATE(LEFT($B40,8),IF($E41=1,1,IF($E41=2,1.3,IF($E41=3,1.5,IF($E41=4,2,IF($E41=5,2.3,IF($E41=6,2.5,IF($E41=7,3,IF($E41=8,3.3,IF($E41=9,3.5,IF($E41=10,4,IF($E41=11,4.3,IF($E41=12,4.5,""))))))))))))),CONCATENATE(RIGHT($K41,7),".1"))</f>
        <v>SOP.003.1.3</v>
      </c>
      <c r="E41" s="190">
        <f t="shared" si="3"/>
        <v>2</v>
      </c>
      <c r="F41" s="190" t="str">
        <f t="shared" ref="F41" si="38">IF(K41=0,LEFT(F40,16)&amp;TEXT(E41,"00"),K41&amp;"."&amp;TEXT(E41,"00"))</f>
        <v>ALP.BSP.SOP.003.02</v>
      </c>
      <c r="G41" s="190" t="str">
        <f>IF(ISBLANK(N41),"",CONCATENATE(LEFT(F41,15),".",INDEX(Ref!A:A,MATCH(N41,Ref!$K$1:$K$333,0))))</f>
        <v>ALP.BSP.SOP.003.2</v>
      </c>
      <c r="H41" s="180"/>
      <c r="I41" s="217"/>
      <c r="J41" s="180"/>
      <c r="K41" s="181"/>
      <c r="L41" s="192"/>
      <c r="M41" s="182"/>
      <c r="N41" s="183" t="s">
        <v>94</v>
      </c>
      <c r="O41" s="182" t="s">
        <v>498</v>
      </c>
      <c r="P41" s="182" t="s">
        <v>499</v>
      </c>
      <c r="Q41" s="184" t="s">
        <v>92</v>
      </c>
      <c r="R41" s="184" t="s">
        <v>90</v>
      </c>
      <c r="S41" s="185" t="str">
        <f>IFERROR(CLEAN(INDEX('Risk Matrix'!$H$7:$L$11,MATCH($Q41,'Risk Matrix'!$F$7:$F$11,0),MATCH($R41,'Risk Matrix'!$H$6:$L$6,0))),"")</f>
        <v>Medium 2</v>
      </c>
      <c r="T41" s="85" t="str">
        <f>IF(LEFT($B41,7)=RIGHT('SOP template'!$B$1,7),_xlfn.NUMBERVALUE(RIGHT($S41,2)),"")</f>
        <v/>
      </c>
      <c r="U41" s="182" t="s">
        <v>495</v>
      </c>
      <c r="V41" s="182" t="s">
        <v>477</v>
      </c>
      <c r="W41" s="199" t="s">
        <v>478</v>
      </c>
      <c r="X41" s="182" t="s">
        <v>479</v>
      </c>
      <c r="Y41" s="182" t="s">
        <v>480</v>
      </c>
      <c r="Z41" s="182" t="s">
        <v>481</v>
      </c>
      <c r="AA41" s="186">
        <f>IFERROR(VLOOKUP(IFERROR(LEFT(S41,4),""),Ref!$AF$2:$AG$5,2,0),"")</f>
        <v>24</v>
      </c>
      <c r="AB41" s="186"/>
      <c r="AC41" s="218" t="s">
        <v>290</v>
      </c>
      <c r="AD41" s="187" t="str">
        <f>IFERROR(VLOOKUP(AC41,'Training Matrix'!B$4:C$24,2,0),"")</f>
        <v>WHS Team member</v>
      </c>
      <c r="AE41" s="221">
        <v>45792</v>
      </c>
      <c r="AF41" s="188">
        <f t="shared" si="12"/>
        <v>46522</v>
      </c>
      <c r="AG41" s="189" t="str">
        <f t="shared" ca="1" si="9"/>
        <v>Current</v>
      </c>
      <c r="AH41" s="50" t="str">
        <f t="shared" ref="AH41" si="39">IF(OR(AC41="",AE41=""),"",CONCATENATE(AC41,"_",K40,"_",L40))</f>
        <v>Person 2_ALP.BSP.SOP.003_Receiving and moving biological specimens</v>
      </c>
    </row>
    <row r="42" spans="1:34" ht="60" x14ac:dyDescent="0.25">
      <c r="A42" s="5" t="str">
        <f>IF(LEFT(F42,15)='SOP template'!$B$1,1,"")</f>
        <v/>
      </c>
      <c r="B42" s="190" t="str">
        <f t="shared" si="16"/>
        <v>SOP.003.3</v>
      </c>
      <c r="C42" s="190" t="str">
        <f>IF(ISBLANK($K42),CONCATENATE(LEFT($B41,8),IF($E42=1,1.1,IF($E42=2,1.4,IF($E42=3,2,IF($E42=4,2.4,IF($E42=5,3,IF($E42=6,3.4,IF($E42=7,4,IF($E42=8,4.4,IF($E42=9,5,IF($E42=10,5.4,IF($E42=11,6,IF($E42=12,6.4,""))))))))))))),CONCATENATE(RIGHT($K42,7),".1"))</f>
        <v>SOP.003.2</v>
      </c>
      <c r="D42" s="190" t="str">
        <f>IF(ISBLANK($K42),CONCATENATE(LEFT($B41,8),IF($E42=1,1,IF($E42=2,1.3,IF($E42=3,1.5,IF($E42=4,2,IF($E42=5,2.3,IF($E42=6,2.5,IF($E42=7,3,IF($E42=8,3.3,IF($E42=9,3.5,IF($E42=10,4,IF($E42=11,4.3,IF($E42=12,4.5,""))))))))))))),CONCATENATE(RIGHT($K42,7),".1"))</f>
        <v>SOP.003.1.5</v>
      </c>
      <c r="E42" s="190">
        <f t="shared" si="3"/>
        <v>3</v>
      </c>
      <c r="F42" s="190" t="str">
        <f t="shared" si="18"/>
        <v>ALP.BSP.SOP.003.03</v>
      </c>
      <c r="G42" s="190" t="str">
        <f>IF(ISBLANK(N42),"",CONCATENATE(LEFT(F42,15),".",INDEX(Ref!A:A,MATCH(N42,Ref!$K$1:$K$333,0))))</f>
        <v>ALP.BSP.SOP.003.7</v>
      </c>
      <c r="H42" s="180"/>
      <c r="I42" s="217"/>
      <c r="J42" s="180"/>
      <c r="K42" s="181"/>
      <c r="L42" s="182"/>
      <c r="M42" s="182"/>
      <c r="N42" s="183" t="s">
        <v>88</v>
      </c>
      <c r="O42" s="182" t="s">
        <v>500</v>
      </c>
      <c r="P42" s="182" t="s">
        <v>501</v>
      </c>
      <c r="Q42" s="184" t="s">
        <v>89</v>
      </c>
      <c r="R42" s="184" t="s">
        <v>91</v>
      </c>
      <c r="S42" s="185" t="str">
        <f>IFERROR(CLEAN(INDEX('Risk Matrix'!$H$7:$L$11,MATCH($Q42,'Risk Matrix'!$F$7:$F$11,0),MATCH($R42,'Risk Matrix'!$H$6:$L$6,0))),"")</f>
        <v>Low 1</v>
      </c>
      <c r="T42" s="85" t="str">
        <f>IF(LEFT($B42,7)=RIGHT('SOP template'!$B$1,7),_xlfn.NUMBERVALUE(RIGHT($S42,2)),"")</f>
        <v/>
      </c>
      <c r="U42" s="182" t="s">
        <v>494</v>
      </c>
      <c r="V42" s="182" t="s">
        <v>482</v>
      </c>
      <c r="W42" s="199" t="s">
        <v>483</v>
      </c>
      <c r="X42" s="182" t="s">
        <v>484</v>
      </c>
      <c r="Y42" s="182" t="s">
        <v>485</v>
      </c>
      <c r="Z42" s="182" t="s">
        <v>486</v>
      </c>
      <c r="AA42" s="186">
        <f>IFERROR(VLOOKUP(IFERROR(LEFT(S42,4),""),Ref!$AF$2:$AG$5,2,0),"")</f>
        <v>36</v>
      </c>
      <c r="AB42" s="186"/>
      <c r="AC42" s="218" t="s">
        <v>167</v>
      </c>
      <c r="AD42" s="187" t="str">
        <f>IFERROR(VLOOKUP(AC42,'Training Matrix'!B$4:C$24,2,0),"")</f>
        <v>Bioscience Manager</v>
      </c>
      <c r="AE42" s="221">
        <v>45792</v>
      </c>
      <c r="AF42" s="188">
        <f t="shared" si="12"/>
        <v>46522</v>
      </c>
      <c r="AG42" s="189" t="str">
        <f t="shared" ca="1" si="9"/>
        <v>Current</v>
      </c>
      <c r="AH42" s="50" t="str">
        <f t="shared" ref="AH42" si="40">IF(OR(AC42="",AE42=""),"",CONCATENATE(AC42,"_",K40,"_",L40))</f>
        <v>Person 3_ALP.BSP.SOP.003_Receiving and moving biological specimens</v>
      </c>
    </row>
    <row r="43" spans="1:34" ht="45" x14ac:dyDescent="0.25">
      <c r="A43" s="5" t="str">
        <f>IF(LEFT(F43,15)='SOP template'!$B$1,1,"")</f>
        <v/>
      </c>
      <c r="B43" s="190" t="str">
        <f t="shared" si="16"/>
        <v>SOP.003.4</v>
      </c>
      <c r="C43" s="190" t="str">
        <f>IF(ISBLANK($K43),CONCATENATE(LEFT($B42,8),IF($E43=1,1.1,IF($E43=2,1.4,IF($E43=3,2,IF($E43=4,2.4,IF($E43=5,3,IF($E43=6,3.4,IF($E43=7,4,IF($E43=8,4.4,IF($E43=9,5,IF($E43=10,5.4,IF($E43=11,6,IF($E43=12,6.4,""))))))))))))),CONCATENATE(RIGHT($K43,7),".1"))</f>
        <v>SOP.003.2.4</v>
      </c>
      <c r="D43" s="190" t="str">
        <f>IF(ISBLANK($K43),CONCATENATE(LEFT($B42,8),IF($E43=1,1,IF($E43=2,1.3,IF($E43=3,1.5,IF($E43=4,2,IF($E43=5,2.3,IF($E43=6,2.5,IF($E43=7,3,IF($E43=8,3.3,IF($E43=9,3.5,IF($E43=10,4,IF($E43=11,4.3,IF($E43=12,4.5,""))))))))))))),CONCATENATE(RIGHT($K43,7),".1"))</f>
        <v>SOP.003.2</v>
      </c>
      <c r="E43" s="190">
        <f t="shared" si="3"/>
        <v>4</v>
      </c>
      <c r="F43" s="190" t="str">
        <f t="shared" si="18"/>
        <v>ALP.BSP.SOP.003.04</v>
      </c>
      <c r="G43" s="190" t="str">
        <f>IF(ISBLANK(N43),"",CONCATENATE(LEFT(F43,15),".",INDEX(Ref!A:A,MATCH(N43,Ref!$K$1:$K$333,0))))</f>
        <v>ALP.BSP.SOP.003.11</v>
      </c>
      <c r="H43" s="180"/>
      <c r="I43" s="217"/>
      <c r="J43" s="180"/>
      <c r="K43" s="181"/>
      <c r="L43" s="182"/>
      <c r="M43" s="182"/>
      <c r="N43" s="183" t="s">
        <v>95</v>
      </c>
      <c r="O43" s="182" t="s">
        <v>502</v>
      </c>
      <c r="P43" s="182" t="s">
        <v>503</v>
      </c>
      <c r="Q43" s="184" t="s">
        <v>89</v>
      </c>
      <c r="R43" s="184" t="s">
        <v>91</v>
      </c>
      <c r="S43" s="361" t="str">
        <f>IFERROR(CLEAN(INDEX('Risk Matrix'!$H$7:$L$11,MATCH($Q43,'Risk Matrix'!$F$7:$F$11,0),MATCH($R43,'Risk Matrix'!$H$6:$L$6,0))),"")</f>
        <v>Low 1</v>
      </c>
      <c r="T43" s="85" t="str">
        <f>IF(LEFT($B43,7)=RIGHT('SOP template'!$B$1,7),_xlfn.NUMBERVALUE(RIGHT($S43,2)),"")</f>
        <v/>
      </c>
      <c r="U43" s="182" t="s">
        <v>493</v>
      </c>
      <c r="V43" s="182"/>
      <c r="W43" s="199" t="s">
        <v>487</v>
      </c>
      <c r="X43" s="182" t="s">
        <v>488</v>
      </c>
      <c r="Y43" s="182" t="s">
        <v>489</v>
      </c>
      <c r="Z43" s="182"/>
      <c r="AA43" s="186">
        <f>IFERROR(VLOOKUP(IFERROR(LEFT(S43,4),""),Ref!$AF$2:$AG$5,2,0),"")</f>
        <v>36</v>
      </c>
      <c r="AB43" s="186"/>
      <c r="AC43" s="218" t="s">
        <v>168</v>
      </c>
      <c r="AD43" s="187" t="str">
        <f>IFERROR(VLOOKUP(AC43,'Training Matrix'!B$4:C$24,2,0),"")</f>
        <v>Collection Manager</v>
      </c>
      <c r="AE43" s="221">
        <v>45792</v>
      </c>
      <c r="AF43" s="188">
        <f t="shared" si="12"/>
        <v>46522</v>
      </c>
      <c r="AG43" s="189" t="str">
        <f t="shared" ca="1" si="9"/>
        <v>Current</v>
      </c>
      <c r="AH43" s="50" t="str">
        <f t="shared" ref="AH43" si="41">IF(OR(AC43="",AE43=""),"",CONCATENATE(AC43,"_",K40,"_",L40))</f>
        <v>Person 4_ALP.BSP.SOP.003_Receiving and moving biological specimens</v>
      </c>
    </row>
    <row r="44" spans="1:34" ht="45" x14ac:dyDescent="0.25">
      <c r="A44" s="5" t="str">
        <f>IF(LEFT(F44,15)='SOP template'!$B$1,1,"")</f>
        <v/>
      </c>
      <c r="B44" s="190" t="str">
        <f t="shared" si="16"/>
        <v>SOP.003.5</v>
      </c>
      <c r="C44" s="190" t="str">
        <f t="shared" ref="C44:C57" si="42">IF(ISBLANK($K44),CONCATENATE(LEFT($B40,8),IF($E44=1,1.1,IF($E44=2,1.4,IF($E44=3,2,IF($E44=4,2.4,IF($E44=5,3,IF($E44=6,3.4,IF($E44=7,4,IF($E44=8,4.4,IF($E44=9,5,IF($E44=10,5.4,IF($E44=11,6,IF($E44=12,6.4,""))))))))))))),CONCATENATE(RIGHT($K44,7),".1"))</f>
        <v>SOP.003.3</v>
      </c>
      <c r="D44" s="190" t="str">
        <f t="shared" ref="D44:D57" si="43">IF(ISBLANK($K44),CONCATENATE(LEFT($B40,8),IF($E44=1,1,IF($E44=2,1.3,IF($E44=3,1.5,IF($E44=4,2,IF($E44=5,2.3,IF($E44=6,2.5,IF($E44=7,3,IF($E44=8,3.3,IF($E44=9,3.5,IF($E44=10,4,IF($E44=11,4.3,IF($E44=12,4.5,""))))))))))))),CONCATENATE(RIGHT($K44,7),".1"))</f>
        <v>SOP.003.2.3</v>
      </c>
      <c r="E44" s="190">
        <f t="shared" si="3"/>
        <v>5</v>
      </c>
      <c r="F44" s="190" t="str">
        <f t="shared" si="18"/>
        <v>ALP.BSP.SOP.003.05</v>
      </c>
      <c r="G44" s="190" t="str">
        <f>IF(ISBLANK(N44),"",CONCATENATE(LEFT(F44,15),".",INDEX(Ref!A:A,MATCH(N44,Ref!$K$1:$K$333,0))))</f>
        <v>ALP.BSP.SOP.003.20</v>
      </c>
      <c r="H44" s="180"/>
      <c r="I44" s="217"/>
      <c r="J44" s="180"/>
      <c r="K44" s="181"/>
      <c r="L44" s="182"/>
      <c r="M44" s="182"/>
      <c r="N44" s="183" t="s">
        <v>133</v>
      </c>
      <c r="O44" s="182" t="s">
        <v>417</v>
      </c>
      <c r="P44" s="182" t="s">
        <v>418</v>
      </c>
      <c r="Q44" s="184" t="s">
        <v>89</v>
      </c>
      <c r="R44" s="184" t="s">
        <v>91</v>
      </c>
      <c r="S44" s="361" t="str">
        <f>IFERROR(CLEAN(INDEX('Risk Matrix'!$H$7:$L$11,MATCH($Q44,'Risk Matrix'!$F$7:$F$11,0),MATCH($R44,'Risk Matrix'!$H$6:$L$6,0))),"")</f>
        <v>Low 1</v>
      </c>
      <c r="T44" s="85" t="str">
        <f>IF(LEFT($B44,7)=RIGHT('SOP template'!$B$1,7),_xlfn.NUMBERVALUE(RIGHT($S44,2)),"")</f>
        <v/>
      </c>
      <c r="U44" s="182" t="s">
        <v>437</v>
      </c>
      <c r="V44" s="182"/>
      <c r="W44" s="199" t="s">
        <v>490</v>
      </c>
      <c r="X44" s="182" t="s">
        <v>491</v>
      </c>
      <c r="Y44" s="182" t="s">
        <v>492</v>
      </c>
      <c r="Z44" s="182"/>
      <c r="AA44" s="186">
        <f>IFERROR(VLOOKUP(IFERROR(LEFT(S44,4),""),Ref!$AF$2:$AG$5,2,0),"")</f>
        <v>36</v>
      </c>
      <c r="AB44" s="186"/>
      <c r="AC44" s="218" t="s">
        <v>169</v>
      </c>
      <c r="AD44" s="187" t="str">
        <f>IFERROR(VLOOKUP(AC44,'Training Matrix'!B$4:C$24,2,0),"")</f>
        <v>Technician</v>
      </c>
      <c r="AE44" s="221">
        <v>45792</v>
      </c>
      <c r="AF44" s="188">
        <f t="shared" si="12"/>
        <v>46522</v>
      </c>
      <c r="AG44" s="189" t="str">
        <f t="shared" ca="1" si="9"/>
        <v>Current</v>
      </c>
      <c r="AH44" s="50" t="str">
        <f t="shared" ref="AH44" si="44">IF(OR(AC44="",AE44=""),"",CONCATENATE(AC44,"_",K40,"_",L40))</f>
        <v>Person 5_ALP.BSP.SOP.003_Receiving and moving biological specimens</v>
      </c>
    </row>
    <row r="45" spans="1:34" x14ac:dyDescent="0.25">
      <c r="A45" s="5" t="str">
        <f>IF(LEFT(F45,15)='SOP template'!$B$1,1,"")</f>
        <v/>
      </c>
      <c r="B45" s="190" t="str">
        <f t="shared" si="16"/>
        <v>SOP.003.6</v>
      </c>
      <c r="C45" s="190" t="str">
        <f t="shared" si="42"/>
        <v>SOP.003.3.4</v>
      </c>
      <c r="D45" s="190" t="str">
        <f t="shared" si="43"/>
        <v>SOP.003.2.5</v>
      </c>
      <c r="E45" s="190">
        <f t="shared" si="3"/>
        <v>6</v>
      </c>
      <c r="F45" s="190" t="str">
        <f t="shared" si="18"/>
        <v>ALP.BSP.SOP.003.06</v>
      </c>
      <c r="G45" s="190" t="str">
        <f>IF(ISBLANK(N45),"",CONCATENATE(LEFT(F45,15),".",INDEX(Ref!A:A,MATCH(N45,Ref!$K$1:$K$333,0))))</f>
        <v/>
      </c>
      <c r="H45" s="180"/>
      <c r="I45" s="217"/>
      <c r="J45" s="180"/>
      <c r="K45" s="181"/>
      <c r="L45" s="182"/>
      <c r="M45" s="182"/>
      <c r="N45" s="362"/>
      <c r="O45" s="363"/>
      <c r="P45" s="363"/>
      <c r="Q45" s="364"/>
      <c r="R45" s="364"/>
      <c r="S45" s="361" t="str">
        <f>IFERROR(CLEAN(INDEX('Risk Matrix'!$H$7:$L$11,MATCH($Q45,'Risk Matrix'!$F$7:$F$11,0),MATCH($R45,'Risk Matrix'!$H$6:$L$6,0))),"")</f>
        <v/>
      </c>
      <c r="T45" s="365" t="str">
        <f>IF(LEFT($B45,7)=RIGHT('SOP template'!$B$1,7),_xlfn.NUMBERVALUE(RIGHT($S45,2)),"")</f>
        <v/>
      </c>
      <c r="U45" s="363"/>
      <c r="V45" s="363"/>
      <c r="W45" s="366"/>
      <c r="X45" s="363"/>
      <c r="Y45" s="363" t="s">
        <v>468</v>
      </c>
      <c r="Z45" s="363"/>
      <c r="AA45" s="186" t="str">
        <f>IFERROR(VLOOKUP(IFERROR(LEFT(S45,4),""),Ref!$AF$2:$AG$5,2,0),"")</f>
        <v/>
      </c>
      <c r="AB45" s="186"/>
      <c r="AC45" s="218" t="s">
        <v>170</v>
      </c>
      <c r="AD45" s="187" t="str">
        <f>IFERROR(VLOOKUP(AC45,'Training Matrix'!B$4:C$24,2,0),"")</f>
        <v>Scientist</v>
      </c>
      <c r="AE45" s="221">
        <v>45792</v>
      </c>
      <c r="AF45" s="188">
        <f t="shared" si="12"/>
        <v>46522</v>
      </c>
      <c r="AG45" s="189" t="str">
        <f t="shared" ca="1" si="9"/>
        <v>Current</v>
      </c>
      <c r="AH45" s="50" t="str">
        <f t="shared" ref="AH45" si="45">IF(OR(AC45="",AE45=""),"",CONCATENATE(AC45,"_",K40,"_",L40))</f>
        <v>Person 6_ALP.BSP.SOP.003_Receiving and moving biological specimens</v>
      </c>
    </row>
    <row r="46" spans="1:34" x14ac:dyDescent="0.25">
      <c r="A46" s="5" t="str">
        <f>IF(LEFT(F46,15)='SOP template'!$B$1,1,"")</f>
        <v/>
      </c>
      <c r="B46" s="190" t="str">
        <f t="shared" si="16"/>
        <v>SOP.003.7</v>
      </c>
      <c r="C46" s="190" t="str">
        <f t="shared" si="42"/>
        <v>SOP.003.4</v>
      </c>
      <c r="D46" s="190" t="str">
        <f t="shared" si="43"/>
        <v>SOP.003.3</v>
      </c>
      <c r="E46" s="190">
        <f t="shared" si="3"/>
        <v>7</v>
      </c>
      <c r="F46" s="190" t="str">
        <f t="shared" si="18"/>
        <v>ALP.BSP.SOP.003.07</v>
      </c>
      <c r="G46" s="190" t="str">
        <f>IF(ISBLANK(N46),"",CONCATENATE(LEFT(F46,15),".",INDEX(Ref!A:A,MATCH(N46,Ref!$K$1:$K$333,0))))</f>
        <v/>
      </c>
      <c r="H46" s="180"/>
      <c r="I46" s="217"/>
      <c r="J46" s="180"/>
      <c r="K46" s="181"/>
      <c r="L46" s="182"/>
      <c r="M46" s="238"/>
      <c r="N46" s="362"/>
      <c r="O46" s="363"/>
      <c r="P46" s="363"/>
      <c r="Q46" s="364"/>
      <c r="R46" s="364"/>
      <c r="S46" s="361" t="str">
        <f>IFERROR(CLEAN(INDEX('Risk Matrix'!$H$7:$L$11,MATCH($Q46,'Risk Matrix'!$F$7:$F$11,0),MATCH($R46,'Risk Matrix'!$H$6:$L$6,0))),"")</f>
        <v/>
      </c>
      <c r="T46" s="365" t="str">
        <f>IF(LEFT($B46,7)=RIGHT('SOP template'!$B$1,7),_xlfn.NUMBERVALUE(RIGHT($S46,2)),"")</f>
        <v/>
      </c>
      <c r="U46" s="363"/>
      <c r="V46" s="363"/>
      <c r="W46" s="366"/>
      <c r="X46" s="363"/>
      <c r="Y46" s="363"/>
      <c r="Z46" s="363"/>
      <c r="AA46" s="186" t="str">
        <f>IFERROR(VLOOKUP(IFERROR(LEFT(S46,4),""),Ref!$AF$2:$AG$5,2,0),"")</f>
        <v/>
      </c>
      <c r="AB46" s="186"/>
      <c r="AC46" s="218"/>
      <c r="AD46" s="187" t="str">
        <f>IFERROR(VLOOKUP(AC46,'Training Matrix'!B$4:C$24,2,0),"")</f>
        <v/>
      </c>
      <c r="AE46" s="221"/>
      <c r="AF46" s="188" t="str">
        <f t="shared" si="12"/>
        <v/>
      </c>
      <c r="AG46" s="189" t="str">
        <f t="shared" ca="1" si="9"/>
        <v/>
      </c>
      <c r="AH46" s="50" t="str">
        <f t="shared" ref="AH46" si="46">IF(OR(AC46="",AE46=""),"",CONCATENATE(AC46,"_",K40,"_",L40))</f>
        <v/>
      </c>
    </row>
    <row r="47" spans="1:34" x14ac:dyDescent="0.25">
      <c r="A47" s="5" t="str">
        <f>IF(LEFT(F47,15)='SOP template'!$B$1,1,"")</f>
        <v/>
      </c>
      <c r="B47" s="190" t="str">
        <f t="shared" si="16"/>
        <v>SOP.003.8</v>
      </c>
      <c r="C47" s="190" t="str">
        <f t="shared" si="42"/>
        <v>SOP.003.4.4</v>
      </c>
      <c r="D47" s="190" t="str">
        <f t="shared" si="43"/>
        <v>SOP.003.3.3</v>
      </c>
      <c r="E47" s="190">
        <f t="shared" si="3"/>
        <v>8</v>
      </c>
      <c r="F47" s="190" t="str">
        <f t="shared" si="18"/>
        <v>ALP.BSP.SOP.003.08</v>
      </c>
      <c r="G47" s="190" t="str">
        <f>IF(ISBLANK(N47),"",CONCATENATE(LEFT(F47,15),".",INDEX(Ref!A:A,MATCH(N47,Ref!$K$1:$K$333,0))))</f>
        <v/>
      </c>
      <c r="H47" s="180"/>
      <c r="I47" s="217"/>
      <c r="J47" s="180"/>
      <c r="K47" s="181"/>
      <c r="L47" s="182"/>
      <c r="M47" s="182"/>
      <c r="N47" s="362"/>
      <c r="O47" s="363"/>
      <c r="P47" s="363"/>
      <c r="Q47" s="364"/>
      <c r="R47" s="364"/>
      <c r="S47" s="361" t="str">
        <f>IFERROR(CLEAN(INDEX('Risk Matrix'!$H$7:$L$11,MATCH($Q47,'Risk Matrix'!$F$7:$F$11,0),MATCH($R47,'Risk Matrix'!$H$6:$L$6,0))),"")</f>
        <v/>
      </c>
      <c r="T47" s="365" t="str">
        <f>IF(LEFT($B47,7)=RIGHT('SOP template'!$B$1,7),_xlfn.NUMBERVALUE(RIGHT($S47,2)),"")</f>
        <v/>
      </c>
      <c r="U47" s="363"/>
      <c r="V47" s="363"/>
      <c r="W47" s="363"/>
      <c r="X47" s="363"/>
      <c r="Y47" s="363"/>
      <c r="Z47" s="363"/>
      <c r="AA47" s="186" t="str">
        <f>IFERROR(VLOOKUP(IFERROR(LEFT(S47,4),""),Ref!$AF$2:$AG$5,2,0),"")</f>
        <v/>
      </c>
      <c r="AB47" s="186"/>
      <c r="AC47" s="218"/>
      <c r="AD47" s="187" t="str">
        <f>IFERROR(VLOOKUP(AC47,'Training Matrix'!B$4:C$24,2,0),"")</f>
        <v/>
      </c>
      <c r="AE47" s="221"/>
      <c r="AF47" s="188" t="str">
        <f t="shared" si="12"/>
        <v/>
      </c>
      <c r="AG47" s="189" t="str">
        <f t="shared" ca="1" si="9"/>
        <v/>
      </c>
      <c r="AH47" s="50" t="str">
        <f t="shared" ref="AH47" si="47">IF(OR(AC47="",AE47=""),"",CONCATENATE(AC47,"_",K40,"_",L40))</f>
        <v/>
      </c>
    </row>
    <row r="48" spans="1:34" x14ac:dyDescent="0.25">
      <c r="A48" s="5" t="str">
        <f>IF(LEFT(F48,15)='SOP template'!$B$1,1,"")</f>
        <v/>
      </c>
      <c r="B48" s="190" t="str">
        <f t="shared" si="16"/>
        <v>SOP.003.9</v>
      </c>
      <c r="C48" s="190" t="str">
        <f t="shared" si="42"/>
        <v>SOP.003.5</v>
      </c>
      <c r="D48" s="190" t="str">
        <f t="shared" si="43"/>
        <v>SOP.003.3.5</v>
      </c>
      <c r="E48" s="190">
        <f t="shared" si="3"/>
        <v>9</v>
      </c>
      <c r="F48" s="190" t="str">
        <f t="shared" si="18"/>
        <v>ALP.BSP.SOP.003.09</v>
      </c>
      <c r="G48" s="190" t="str">
        <f>IF(ISBLANK(N48),"",CONCATENATE(LEFT(F48,15),".",INDEX(Ref!A:A,MATCH(N48,Ref!$K$1:$K$333,0))))</f>
        <v/>
      </c>
      <c r="H48" s="180"/>
      <c r="I48" s="217"/>
      <c r="J48" s="180"/>
      <c r="K48" s="181"/>
      <c r="L48" s="182"/>
      <c r="M48" s="182"/>
      <c r="N48" s="362"/>
      <c r="O48" s="363"/>
      <c r="P48" s="363"/>
      <c r="Q48" s="364"/>
      <c r="R48" s="364"/>
      <c r="S48" s="361" t="str">
        <f>IFERROR(CLEAN(INDEX('Risk Matrix'!$H$7:$L$11,MATCH($Q48,'Risk Matrix'!$F$7:$F$11,0),MATCH($R48,'Risk Matrix'!$H$6:$L$6,0))),"")</f>
        <v/>
      </c>
      <c r="T48" s="365" t="str">
        <f>IF(LEFT($B48,7)=RIGHT('SOP template'!$B$1,7),_xlfn.NUMBERVALUE(RIGHT($S48,2)),"")</f>
        <v/>
      </c>
      <c r="U48" s="363"/>
      <c r="V48" s="363"/>
      <c r="W48" s="363"/>
      <c r="X48" s="363"/>
      <c r="Y48" s="363"/>
      <c r="Z48" s="363"/>
      <c r="AA48" s="186" t="str">
        <f>IFERROR(VLOOKUP(IFERROR(LEFT(S48,4),""),Ref!$AF$2:$AG$5,2,0),"")</f>
        <v/>
      </c>
      <c r="AB48" s="186"/>
      <c r="AC48" s="218"/>
      <c r="AD48" s="187" t="str">
        <f>IFERROR(VLOOKUP(AC48,'Training Matrix'!B$4:C$24,2,0),"")</f>
        <v/>
      </c>
      <c r="AE48" s="221"/>
      <c r="AF48" s="188" t="str">
        <f t="shared" si="12"/>
        <v/>
      </c>
      <c r="AG48" s="189" t="str">
        <f t="shared" ca="1" si="9"/>
        <v/>
      </c>
      <c r="AH48" s="50" t="str">
        <f t="shared" ref="AH48" si="48">IF(OR(AC48="",AE48=""),"",CONCATENATE(AC48,"_",K40,"_",L40))</f>
        <v/>
      </c>
    </row>
    <row r="49" spans="1:34" x14ac:dyDescent="0.25">
      <c r="A49" s="5" t="str">
        <f>IF(LEFT(F49,15)='SOP template'!$B$1,1,"")</f>
        <v/>
      </c>
      <c r="B49" s="190" t="str">
        <f t="shared" si="16"/>
        <v>SOP.003.10</v>
      </c>
      <c r="C49" s="190" t="str">
        <f t="shared" si="42"/>
        <v>SOP.003.5.4</v>
      </c>
      <c r="D49" s="190" t="str">
        <f t="shared" si="43"/>
        <v>SOP.003.4</v>
      </c>
      <c r="E49" s="190">
        <f t="shared" si="3"/>
        <v>10</v>
      </c>
      <c r="F49" s="190" t="str">
        <f t="shared" si="18"/>
        <v>ALP.BSP.SOP.003.10</v>
      </c>
      <c r="G49" s="190" t="str">
        <f>IF(ISBLANK(N49),"",CONCATENATE(LEFT(F49,15),".",INDEX(Ref!A:A,MATCH(N49,Ref!$K$1:$K$333,0))))</f>
        <v/>
      </c>
      <c r="H49" s="180"/>
      <c r="I49" s="217"/>
      <c r="J49" s="180"/>
      <c r="K49" s="181"/>
      <c r="L49" s="182"/>
      <c r="M49" s="182"/>
      <c r="N49" s="362"/>
      <c r="O49" s="363"/>
      <c r="P49" s="363"/>
      <c r="Q49" s="364"/>
      <c r="R49" s="364"/>
      <c r="S49" s="361" t="str">
        <f>IFERROR(CLEAN(INDEX('Risk Matrix'!$H$7:$L$11,MATCH($Q49,'Risk Matrix'!$F$7:$F$11,0),MATCH($R49,'Risk Matrix'!$H$6:$L$6,0))),"")</f>
        <v/>
      </c>
      <c r="T49" s="365" t="str">
        <f>IF(LEFT($B49,7)=RIGHT('SOP template'!$B$1,7),_xlfn.NUMBERVALUE(RIGHT($S49,2)),"")</f>
        <v/>
      </c>
      <c r="U49" s="363"/>
      <c r="V49" s="363"/>
      <c r="W49" s="363"/>
      <c r="X49" s="363"/>
      <c r="Y49" s="363"/>
      <c r="Z49" s="363"/>
      <c r="AA49" s="186" t="str">
        <f>IFERROR(VLOOKUP(IFERROR(LEFT(S49,4),""),Ref!$AF$2:$AG$5,2,0),"")</f>
        <v/>
      </c>
      <c r="AB49" s="186"/>
      <c r="AC49" s="218"/>
      <c r="AD49" s="187" t="str">
        <f>IFERROR(VLOOKUP(AC49,'Training Matrix'!B$4:C$24,2,0),"")</f>
        <v/>
      </c>
      <c r="AE49" s="221"/>
      <c r="AF49" s="188" t="str">
        <f t="shared" si="12"/>
        <v/>
      </c>
      <c r="AG49" s="189" t="str">
        <f t="shared" ca="1" si="9"/>
        <v/>
      </c>
      <c r="AH49" s="50" t="str">
        <f t="shared" ref="AH49" si="49">IF(OR(AC49="",AE49=""),"",CONCATENATE(AC49,"_",K40,"_",L40))</f>
        <v/>
      </c>
    </row>
    <row r="50" spans="1:34" x14ac:dyDescent="0.25">
      <c r="A50" s="5" t="str">
        <f>IF(LEFT(F50,15)='SOP template'!$B$1,1,"")</f>
        <v/>
      </c>
      <c r="B50" s="190" t="str">
        <f t="shared" ref="B50:B57" si="50">CONCATENATE(LEFT(B49,8),E50)</f>
        <v>SOP.003.11</v>
      </c>
      <c r="C50" s="190" t="str">
        <f t="shared" si="42"/>
        <v>SOP.003.6</v>
      </c>
      <c r="D50" s="190" t="str">
        <f t="shared" si="43"/>
        <v>SOP.003.4.3</v>
      </c>
      <c r="E50" s="190">
        <f t="shared" si="3"/>
        <v>11</v>
      </c>
      <c r="F50" s="190" t="str">
        <f t="shared" ref="F50:F57" si="51">IF(K50=0,LEFT(F49,16)&amp;TEXT(E50,"00"),K50&amp;"."&amp;TEXT(E50,"00"))</f>
        <v>ALP.BSP.SOP.003.11</v>
      </c>
      <c r="G50" s="190" t="str">
        <f>IF(ISBLANK(N50),"",CONCATENATE(LEFT(F50,15),".",INDEX(Ref!A:A,MATCH(N50,Ref!$K$1:$K$333,0))))</f>
        <v/>
      </c>
      <c r="H50" s="180"/>
      <c r="I50" s="217"/>
      <c r="J50" s="180"/>
      <c r="K50" s="181"/>
      <c r="L50" s="182"/>
      <c r="M50" s="182"/>
      <c r="N50" s="362"/>
      <c r="O50" s="363"/>
      <c r="P50" s="363"/>
      <c r="Q50" s="364"/>
      <c r="R50" s="364"/>
      <c r="S50" s="361" t="str">
        <f>IFERROR(CLEAN(INDEX('Risk Matrix'!$H$7:$L$11,MATCH($Q50,'Risk Matrix'!$F$7:$F$11,0),MATCH($R50,'Risk Matrix'!$H$6:$L$6,0))),"")</f>
        <v/>
      </c>
      <c r="T50" s="365" t="str">
        <f>IF(LEFT($B50,7)=RIGHT('SOP template'!$B$1,7),_xlfn.NUMBERVALUE(RIGHT($S50,2)),"")</f>
        <v/>
      </c>
      <c r="U50" s="363"/>
      <c r="V50" s="363"/>
      <c r="W50" s="363"/>
      <c r="X50" s="363"/>
      <c r="Y50" s="363"/>
      <c r="Z50" s="363"/>
      <c r="AA50" s="186" t="str">
        <f>IFERROR(VLOOKUP(IFERROR(LEFT(S50,4),""),Ref!$AF$2:$AG$5,2,0),"")</f>
        <v/>
      </c>
      <c r="AB50" s="186"/>
      <c r="AC50" s="218"/>
      <c r="AD50" s="187" t="str">
        <f>IFERROR(VLOOKUP(AC50,'Training Matrix'!B$4:C$24,2,0),"")</f>
        <v/>
      </c>
      <c r="AE50" s="221"/>
      <c r="AF50" s="188" t="str">
        <f t="shared" si="12"/>
        <v/>
      </c>
      <c r="AG50" s="189" t="str">
        <f t="shared" ca="1" si="9"/>
        <v/>
      </c>
      <c r="AH50" s="50" t="str">
        <f t="shared" ref="AH50" si="52">IF(OR(AC50="",AE50=""),"",CONCATENATE(AC50,"_",K40,"_",L40))</f>
        <v/>
      </c>
    </row>
    <row r="51" spans="1:34" x14ac:dyDescent="0.25">
      <c r="A51" s="5" t="str">
        <f>IF(LEFT(F51,15)='SOP template'!$B$1,1,"")</f>
        <v/>
      </c>
      <c r="B51" s="190" t="str">
        <f t="shared" si="50"/>
        <v>SOP.003.12</v>
      </c>
      <c r="C51" s="190" t="str">
        <f t="shared" si="42"/>
        <v>SOP.003.6.4</v>
      </c>
      <c r="D51" s="190" t="str">
        <f t="shared" si="43"/>
        <v>SOP.003.4.5</v>
      </c>
      <c r="E51" s="190">
        <f t="shared" si="3"/>
        <v>12</v>
      </c>
      <c r="F51" s="190" t="str">
        <f t="shared" si="51"/>
        <v>ALP.BSP.SOP.003.12</v>
      </c>
      <c r="G51" s="190" t="str">
        <f>IF(ISBLANK(N51),"",CONCATENATE(LEFT(F51,15),".",INDEX(Ref!A:A,MATCH(N51,Ref!$K$1:$K$333,0))))</f>
        <v/>
      </c>
      <c r="H51" s="180"/>
      <c r="I51" s="217"/>
      <c r="J51" s="180"/>
      <c r="K51" s="181"/>
      <c r="L51" s="182"/>
      <c r="M51" s="182"/>
      <c r="N51" s="362"/>
      <c r="O51" s="363"/>
      <c r="P51" s="363"/>
      <c r="Q51" s="364"/>
      <c r="R51" s="364"/>
      <c r="S51" s="361" t="str">
        <f>IFERROR(CLEAN(INDEX('Risk Matrix'!$H$7:$L$11,MATCH($Q51,'Risk Matrix'!$F$7:$F$11,0),MATCH($R51,'Risk Matrix'!$H$6:$L$6,0))),"")</f>
        <v/>
      </c>
      <c r="T51" s="365" t="str">
        <f>IF(LEFT($B51,7)=RIGHT('SOP template'!$B$1,7),_xlfn.NUMBERVALUE(RIGHT($S51,2)),"")</f>
        <v/>
      </c>
      <c r="U51" s="363"/>
      <c r="V51" s="363"/>
      <c r="W51" s="363"/>
      <c r="X51" s="363"/>
      <c r="Y51" s="363"/>
      <c r="Z51" s="363"/>
      <c r="AA51" s="186" t="str">
        <f>IFERROR(VLOOKUP(IFERROR(LEFT(S51,4),""),Ref!$AF$2:$AG$5,2,0),"")</f>
        <v/>
      </c>
      <c r="AB51" s="186"/>
      <c r="AC51" s="218"/>
      <c r="AD51" s="187" t="str">
        <f>IFERROR(VLOOKUP(AC51,'Training Matrix'!B$4:C$24,2,0),"")</f>
        <v/>
      </c>
      <c r="AE51" s="221"/>
      <c r="AF51" s="188" t="str">
        <f t="shared" si="12"/>
        <v/>
      </c>
      <c r="AG51" s="189" t="str">
        <f t="shared" ca="1" si="9"/>
        <v/>
      </c>
      <c r="AH51" s="50" t="str">
        <f t="shared" ref="AH51" si="53">IF(OR(AC51="",AE51=""),"",CONCATENATE(AC51,"_",K40,"_",L40))</f>
        <v/>
      </c>
    </row>
    <row r="52" spans="1:34" x14ac:dyDescent="0.25">
      <c r="A52" s="5" t="str">
        <f>IF(LEFT(F52,15)='SOP template'!$B$1,1,"")</f>
        <v/>
      </c>
      <c r="B52" s="190" t="str">
        <f t="shared" si="50"/>
        <v>SOP.003.13</v>
      </c>
      <c r="C52" s="190" t="str">
        <f t="shared" si="42"/>
        <v>SOP.003.</v>
      </c>
      <c r="D52" s="190" t="str">
        <f t="shared" si="43"/>
        <v>SOP.003.</v>
      </c>
      <c r="E52" s="190">
        <f t="shared" si="3"/>
        <v>13</v>
      </c>
      <c r="F52" s="190" t="str">
        <f t="shared" si="51"/>
        <v>ALP.BSP.SOP.003.13</v>
      </c>
      <c r="G52" s="190" t="str">
        <f>IF(ISBLANK(N52),"",CONCATENATE(LEFT(F52,15),".",INDEX(Ref!A:A,MATCH(N52,Ref!$K$1:$K$333,0))))</f>
        <v/>
      </c>
      <c r="H52" s="180"/>
      <c r="I52" s="217"/>
      <c r="J52" s="180"/>
      <c r="K52" s="181"/>
      <c r="L52" s="182"/>
      <c r="M52" s="182"/>
      <c r="N52" s="362"/>
      <c r="O52" s="363"/>
      <c r="P52" s="363"/>
      <c r="Q52" s="364"/>
      <c r="R52" s="364"/>
      <c r="S52" s="361" t="str">
        <f>IFERROR(CLEAN(INDEX('Risk Matrix'!$H$7:$L$11,MATCH($Q52,'Risk Matrix'!$F$7:$F$11,0),MATCH($R52,'Risk Matrix'!$H$6:$L$6,0))),"")</f>
        <v/>
      </c>
      <c r="T52" s="365" t="str">
        <f>IF(LEFT($B52,7)=RIGHT('SOP template'!$B$1,7),_xlfn.NUMBERVALUE(RIGHT($S52,2)),"")</f>
        <v/>
      </c>
      <c r="U52" s="363"/>
      <c r="V52" s="363"/>
      <c r="W52" s="363"/>
      <c r="X52" s="363"/>
      <c r="Y52" s="363"/>
      <c r="Z52" s="363"/>
      <c r="AA52" s="186" t="str">
        <f>IFERROR(VLOOKUP(IFERROR(LEFT(S52,4),""),Ref!$AF$2:$AG$5,2,0),"")</f>
        <v/>
      </c>
      <c r="AB52" s="186"/>
      <c r="AC52" s="218"/>
      <c r="AD52" s="187" t="str">
        <f>IFERROR(VLOOKUP(AC52,'Training Matrix'!B$4:C$24,2,0),"")</f>
        <v/>
      </c>
      <c r="AE52" s="218"/>
      <c r="AF52" s="188" t="str">
        <f t="shared" si="12"/>
        <v/>
      </c>
      <c r="AG52" s="189" t="str">
        <f t="shared" ca="1" si="9"/>
        <v/>
      </c>
      <c r="AH52" s="50" t="str">
        <f t="shared" ref="AH52" si="54">IF(OR(AC52="",AE52=""),"",CONCATENATE(AC52,"_",K40,"_",L40))</f>
        <v/>
      </c>
    </row>
    <row r="53" spans="1:34" x14ac:dyDescent="0.25">
      <c r="A53" s="5" t="str">
        <f>IF(LEFT(F53,15)='SOP template'!$B$1,1,"")</f>
        <v/>
      </c>
      <c r="B53" s="190" t="str">
        <f t="shared" si="50"/>
        <v>SOP.003.14</v>
      </c>
      <c r="C53" s="190" t="str">
        <f t="shared" si="42"/>
        <v>SOP.003.</v>
      </c>
      <c r="D53" s="190" t="str">
        <f t="shared" si="43"/>
        <v>SOP.003.</v>
      </c>
      <c r="E53" s="190">
        <f t="shared" si="3"/>
        <v>14</v>
      </c>
      <c r="F53" s="190" t="str">
        <f t="shared" si="51"/>
        <v>ALP.BSP.SOP.003.14</v>
      </c>
      <c r="G53" s="190" t="str">
        <f>IF(ISBLANK(N53),"",CONCATENATE(LEFT(F53,15),".",INDEX(Ref!A:A,MATCH(N53,Ref!$K$1:$K$333,0))))</f>
        <v/>
      </c>
      <c r="H53" s="180"/>
      <c r="I53" s="217"/>
      <c r="J53" s="180"/>
      <c r="K53" s="181"/>
      <c r="L53" s="182"/>
      <c r="M53" s="182"/>
      <c r="N53" s="362"/>
      <c r="O53" s="363"/>
      <c r="P53" s="363"/>
      <c r="Q53" s="364"/>
      <c r="R53" s="364"/>
      <c r="S53" s="361" t="str">
        <f>IFERROR(CLEAN(INDEX('Risk Matrix'!$H$7:$L$11,MATCH($Q53,'Risk Matrix'!$F$7:$F$11,0),MATCH($R53,'Risk Matrix'!$H$6:$L$6,0))),"")</f>
        <v/>
      </c>
      <c r="T53" s="365" t="str">
        <f>IF(LEFT($B53,7)=RIGHT('SOP template'!$B$1,7),_xlfn.NUMBERVALUE(RIGHT($S53,2)),"")</f>
        <v/>
      </c>
      <c r="U53" s="363"/>
      <c r="V53" s="363"/>
      <c r="W53" s="363"/>
      <c r="X53" s="363"/>
      <c r="Y53" s="363"/>
      <c r="Z53" s="363"/>
      <c r="AA53" s="186" t="str">
        <f>IFERROR(VLOOKUP(IFERROR(LEFT(S53,4),""),Ref!$AF$2:$AG$5,2,0),"")</f>
        <v/>
      </c>
      <c r="AB53" s="186"/>
      <c r="AC53" s="218"/>
      <c r="AD53" s="187" t="str">
        <f>IFERROR(VLOOKUP(AC53,'Training Matrix'!B$4:C$24,2,0),"")</f>
        <v/>
      </c>
      <c r="AE53" s="218"/>
      <c r="AF53" s="188" t="str">
        <f t="shared" si="12"/>
        <v/>
      </c>
      <c r="AG53" s="189" t="str">
        <f t="shared" ca="1" si="9"/>
        <v/>
      </c>
      <c r="AH53" s="50" t="str">
        <f t="shared" ref="AH53" si="55">IF(OR(AC53="",AE53=""),"",CONCATENATE(AC53,"_",K40,"_",L40))</f>
        <v/>
      </c>
    </row>
    <row r="54" spans="1:34" x14ac:dyDescent="0.25">
      <c r="A54" s="5" t="str">
        <f>IF(LEFT(F54,15)='SOP template'!$B$1,1,"")</f>
        <v/>
      </c>
      <c r="B54" s="190" t="str">
        <f t="shared" si="50"/>
        <v>SOP.003.15</v>
      </c>
      <c r="C54" s="190" t="str">
        <f t="shared" si="42"/>
        <v>SOP.003.</v>
      </c>
      <c r="D54" s="190" t="str">
        <f t="shared" si="43"/>
        <v>SOP.003.</v>
      </c>
      <c r="E54" s="190">
        <f t="shared" si="3"/>
        <v>15</v>
      </c>
      <c r="F54" s="190" t="str">
        <f t="shared" si="51"/>
        <v>ALP.BSP.SOP.003.15</v>
      </c>
      <c r="G54" s="190" t="str">
        <f>IF(ISBLANK(N54),"",CONCATENATE(LEFT(F54,15),".",INDEX(Ref!A:A,MATCH(N54,Ref!$K$1:$K$333,0))))</f>
        <v/>
      </c>
      <c r="H54" s="180"/>
      <c r="I54" s="217"/>
      <c r="J54" s="180"/>
      <c r="K54" s="181"/>
      <c r="L54" s="182"/>
      <c r="M54" s="182"/>
      <c r="N54" s="362"/>
      <c r="O54" s="363"/>
      <c r="P54" s="363"/>
      <c r="Q54" s="364"/>
      <c r="R54" s="364"/>
      <c r="S54" s="361" t="str">
        <f>IFERROR(CLEAN(INDEX('Risk Matrix'!$H$7:$L$11,MATCH($Q54,'Risk Matrix'!$F$7:$F$11,0),MATCH($R54,'Risk Matrix'!$H$6:$L$6,0))),"")</f>
        <v/>
      </c>
      <c r="T54" s="365" t="str">
        <f>IF(LEFT($B54,7)=RIGHT('SOP template'!$B$1,7),_xlfn.NUMBERVALUE(RIGHT($S54,2)),"")</f>
        <v/>
      </c>
      <c r="U54" s="363"/>
      <c r="V54" s="363"/>
      <c r="W54" s="363"/>
      <c r="X54" s="363"/>
      <c r="Y54" s="363"/>
      <c r="Z54" s="363"/>
      <c r="AA54" s="186" t="str">
        <f>IFERROR(VLOOKUP(IFERROR(LEFT(S54,4),""),Ref!$AF$2:$AG$5,2,0),"")</f>
        <v/>
      </c>
      <c r="AB54" s="186"/>
      <c r="AC54" s="218"/>
      <c r="AD54" s="187" t="str">
        <f>IFERROR(VLOOKUP(AC54,'Training Matrix'!B$4:C$24,2,0),"")</f>
        <v/>
      </c>
      <c r="AE54" s="218"/>
      <c r="AF54" s="188" t="str">
        <f t="shared" si="12"/>
        <v/>
      </c>
      <c r="AG54" s="189" t="str">
        <f t="shared" ca="1" si="9"/>
        <v/>
      </c>
      <c r="AH54" s="50" t="str">
        <f t="shared" ref="AH54" si="56">IF(OR(AC54="",AE54=""),"",CONCATENATE(AC54,"_",K40,"_",L40))</f>
        <v/>
      </c>
    </row>
    <row r="55" spans="1:34" x14ac:dyDescent="0.25">
      <c r="A55" s="5" t="str">
        <f>IF(LEFT(F55,15)='SOP template'!$B$1,1,"")</f>
        <v/>
      </c>
      <c r="B55" s="190" t="str">
        <f t="shared" si="50"/>
        <v>SOP.003.16</v>
      </c>
      <c r="C55" s="190" t="str">
        <f t="shared" si="42"/>
        <v>SOP.003.</v>
      </c>
      <c r="D55" s="190" t="str">
        <f t="shared" si="43"/>
        <v>SOP.003.</v>
      </c>
      <c r="E55" s="190">
        <f t="shared" si="3"/>
        <v>16</v>
      </c>
      <c r="F55" s="190" t="str">
        <f t="shared" si="51"/>
        <v>ALP.BSP.SOP.003.16</v>
      </c>
      <c r="G55" s="190" t="str">
        <f>IF(ISBLANK(N55),"",CONCATENATE(LEFT(F55,15),".",INDEX(Ref!A:A,MATCH(N55,Ref!$K$1:$K$333,0))))</f>
        <v/>
      </c>
      <c r="H55" s="180"/>
      <c r="I55" s="217"/>
      <c r="J55" s="180"/>
      <c r="K55" s="181"/>
      <c r="L55" s="182"/>
      <c r="M55" s="182"/>
      <c r="N55" s="362"/>
      <c r="O55" s="363"/>
      <c r="P55" s="363"/>
      <c r="Q55" s="364"/>
      <c r="R55" s="364"/>
      <c r="S55" s="361" t="str">
        <f>IFERROR(CLEAN(INDEX('Risk Matrix'!$H$7:$L$11,MATCH($Q55,'Risk Matrix'!$F$7:$F$11,0),MATCH($R55,'Risk Matrix'!$H$6:$L$6,0))),"")</f>
        <v/>
      </c>
      <c r="T55" s="365" t="str">
        <f>IF(LEFT($B55,7)=RIGHT('SOP template'!$B$1,7),_xlfn.NUMBERVALUE(RIGHT($S55,2)),"")</f>
        <v/>
      </c>
      <c r="U55" s="363"/>
      <c r="V55" s="363"/>
      <c r="W55" s="363"/>
      <c r="X55" s="363"/>
      <c r="Y55" s="363"/>
      <c r="Z55" s="363"/>
      <c r="AA55" s="186" t="str">
        <f>IFERROR(VLOOKUP(IFERROR(LEFT(S55,4),""),Ref!$AF$2:$AG$5,2,0),"")</f>
        <v/>
      </c>
      <c r="AB55" s="186"/>
      <c r="AC55" s="218"/>
      <c r="AD55" s="187" t="str">
        <f>IFERROR(VLOOKUP(AC55,'Training Matrix'!B$4:C$24,2,0),"")</f>
        <v/>
      </c>
      <c r="AE55" s="218"/>
      <c r="AF55" s="188" t="str">
        <f t="shared" si="12"/>
        <v/>
      </c>
      <c r="AG55" s="189" t="str">
        <f t="shared" ca="1" si="9"/>
        <v/>
      </c>
      <c r="AH55" s="50" t="str">
        <f t="shared" ref="AH55" si="57">IF(OR(AC55="",AE55=""),"",CONCATENATE(AC55,"_",K40,"_",L40))</f>
        <v/>
      </c>
    </row>
    <row r="56" spans="1:34" x14ac:dyDescent="0.25">
      <c r="A56" s="5" t="str">
        <f>IF(LEFT(F56,15)='SOP template'!$B$1,1,"")</f>
        <v/>
      </c>
      <c r="B56" s="190" t="str">
        <f t="shared" si="50"/>
        <v>SOP.003.17</v>
      </c>
      <c r="C56" s="190" t="str">
        <f t="shared" si="42"/>
        <v>SOP.003.</v>
      </c>
      <c r="D56" s="190" t="str">
        <f t="shared" si="43"/>
        <v>SOP.003.</v>
      </c>
      <c r="E56" s="190">
        <f t="shared" si="3"/>
        <v>17</v>
      </c>
      <c r="F56" s="190" t="str">
        <f t="shared" si="51"/>
        <v>ALP.BSP.SOP.003.17</v>
      </c>
      <c r="G56" s="190" t="str">
        <f>IF(ISBLANK(N56),"",CONCATENATE(LEFT(F56,15),".",INDEX(Ref!A:A,MATCH(N56,Ref!$K$1:$K$333,0))))</f>
        <v/>
      </c>
      <c r="H56" s="180"/>
      <c r="I56" s="217"/>
      <c r="J56" s="180"/>
      <c r="K56" s="181"/>
      <c r="L56" s="182"/>
      <c r="M56" s="182"/>
      <c r="N56" s="362"/>
      <c r="O56" s="363"/>
      <c r="P56" s="363"/>
      <c r="Q56" s="364"/>
      <c r="R56" s="364"/>
      <c r="S56" s="361" t="str">
        <f>IFERROR(CLEAN(INDEX('Risk Matrix'!$H$7:$L$11,MATCH($Q56,'Risk Matrix'!$F$7:$F$11,0),MATCH($R56,'Risk Matrix'!$H$6:$L$6,0))),"")</f>
        <v/>
      </c>
      <c r="T56" s="365" t="str">
        <f>IF(LEFT($B56,7)=RIGHT('SOP template'!$B$1,7),_xlfn.NUMBERVALUE(RIGHT($S56,2)),"")</f>
        <v/>
      </c>
      <c r="U56" s="363"/>
      <c r="V56" s="363"/>
      <c r="W56" s="363"/>
      <c r="X56" s="363"/>
      <c r="Y56" s="363"/>
      <c r="Z56" s="363"/>
      <c r="AA56" s="186" t="str">
        <f>IFERROR(VLOOKUP(IFERROR(LEFT(S56,4),""),Ref!$AF$2:$AG$5,2,0),"")</f>
        <v/>
      </c>
      <c r="AB56" s="186"/>
      <c r="AC56" s="218"/>
      <c r="AD56" s="187" t="str">
        <f>IFERROR(VLOOKUP(AC56,'Training Matrix'!B$4:C$24,2,0),"")</f>
        <v/>
      </c>
      <c r="AE56" s="218"/>
      <c r="AF56" s="188" t="str">
        <f t="shared" si="12"/>
        <v/>
      </c>
      <c r="AG56" s="189" t="str">
        <f t="shared" ca="1" si="9"/>
        <v/>
      </c>
      <c r="AH56" s="50" t="str">
        <f t="shared" ref="AH56" si="58">IF(OR(AC56="",AE56=""),"",CONCATENATE(AC56,"_",K40,"_",L40))</f>
        <v/>
      </c>
    </row>
    <row r="57" spans="1:34" x14ac:dyDescent="0.25">
      <c r="A57" s="5" t="str">
        <f>IF(LEFT(F57,15)='SOP template'!$B$1,1,"")</f>
        <v/>
      </c>
      <c r="B57" s="190" t="str">
        <f t="shared" si="50"/>
        <v>SOP.003.18</v>
      </c>
      <c r="C57" s="190" t="str">
        <f t="shared" si="42"/>
        <v>SOP.003.</v>
      </c>
      <c r="D57" s="190" t="str">
        <f t="shared" si="43"/>
        <v>SOP.003.</v>
      </c>
      <c r="E57" s="190">
        <f t="shared" si="3"/>
        <v>18</v>
      </c>
      <c r="F57" s="190" t="str">
        <f t="shared" si="51"/>
        <v>ALP.BSP.SOP.003.18</v>
      </c>
      <c r="G57" s="190" t="str">
        <f>IF(ISBLANK(N57),"",CONCATENATE(LEFT(F57,15),".",INDEX(Ref!A:A,MATCH(N57,Ref!$K$1:$K$333,0))))</f>
        <v/>
      </c>
      <c r="H57" s="180"/>
      <c r="I57" s="217"/>
      <c r="J57" s="180"/>
      <c r="K57" s="181"/>
      <c r="L57" s="182"/>
      <c r="M57" s="182"/>
      <c r="N57" s="362"/>
      <c r="O57" s="363"/>
      <c r="P57" s="363"/>
      <c r="Q57" s="364"/>
      <c r="R57" s="364"/>
      <c r="S57" s="361" t="str">
        <f>IFERROR(CLEAN(INDEX('Risk Matrix'!$H$7:$L$11,MATCH($Q57,'Risk Matrix'!$F$7:$F$11,0),MATCH($R57,'Risk Matrix'!$H$6:$L$6,0))),"")</f>
        <v/>
      </c>
      <c r="T57" s="365" t="str">
        <f>IF(LEFT($B57,7)=RIGHT('SOP template'!$B$1,7),_xlfn.NUMBERVALUE(RIGHT($S57,2)),"")</f>
        <v/>
      </c>
      <c r="U57" s="363"/>
      <c r="V57" s="363"/>
      <c r="W57" s="363"/>
      <c r="X57" s="363"/>
      <c r="Y57" s="363"/>
      <c r="Z57" s="363"/>
      <c r="AA57" s="186" t="str">
        <f>IFERROR(VLOOKUP(IFERROR(LEFT(S57,4),""),Ref!$AF$2:$AG$5,2,0),"")</f>
        <v/>
      </c>
      <c r="AB57" s="186"/>
      <c r="AC57" s="218"/>
      <c r="AD57" s="187" t="str">
        <f>IFERROR(VLOOKUP(AC57,'Training Matrix'!B$4:C$24,2,0),"")</f>
        <v/>
      </c>
      <c r="AE57" s="218"/>
      <c r="AF57" s="188" t="str">
        <f t="shared" si="12"/>
        <v/>
      </c>
      <c r="AG57" s="189" t="str">
        <f t="shared" ca="1" si="9"/>
        <v/>
      </c>
      <c r="AH57" s="50" t="str">
        <f t="shared" ref="AH57" si="59">IF(OR(AC57="",AE57=""),"",CONCATENATE(AC57,"_",K40,"_",L40))</f>
        <v/>
      </c>
    </row>
    <row r="58" spans="1:34" ht="45" x14ac:dyDescent="0.25">
      <c r="A58" s="5" t="str">
        <f>IF(LEFT(F58,15)='SOP template'!$B$1,1,"")</f>
        <v/>
      </c>
      <c r="B58" s="179" t="str">
        <f t="shared" ref="B58" si="60">IF(ISBLANK($K58),CONCATENATE($B$2,".",TEXT(J58,"000"),".",$E58),CONCATENATE(RIGHT($K58,7),".1"))</f>
        <v>SOP.004.1</v>
      </c>
      <c r="C58" s="179" t="str">
        <f>IF(ISBLANK($K58),CONCATENATE(LEFT($B45,8),IF($E58=1,1.1,IF($E58=2,1.4,IF($E58=3,2,IF($E58=4,2.4,IF($E58=5,3,IF($E58=6,3.4,IF($E58=7,4,IF($E58=8,4.4,IF($E58=9,5,IF($E58=10,5.4,IF($E58=11,6,IF($E58=12,6.4,""))))))))))))),CONCATENATE(RIGHT($K58,7),".1"))</f>
        <v>SOP.004.1</v>
      </c>
      <c r="D58" s="179" t="str">
        <f>IF(ISBLANK($K58),CONCATENATE(LEFT($B45,8),IF($E58=1,1,IF($E58=2,1.3,IF($E58=3,1.5,IF($E58=4,2,IF($E58=5,2.3,IF($E58=6,2.5,IF($E58=7,3,IF($E58=8,3.3,IF($E58=9,3.5,IF($E58=10,4,IF($E58=11,4.3,IF($E58=12,4.5,""))))))))))))),CONCATENATE(RIGHT($K58,7),".1"))</f>
        <v>SOP.004.1</v>
      </c>
      <c r="E58" s="179">
        <f t="shared" si="3"/>
        <v>1</v>
      </c>
      <c r="F58" s="179" t="str">
        <f t="shared" ref="F58" si="61">K58&amp;"."&amp;TEXT(E58,"00")</f>
        <v>ALP.BSP.SOP.004.01</v>
      </c>
      <c r="G58" s="179" t="str">
        <f>IF(ISBLANK(N58),"",CONCATENATE(LEFT(F58,15),".",INDEX(Ref!A:A,MATCH(N58,Ref!$K$1:$K$333,0))))</f>
        <v>ALP.BSP.SOP.004.1</v>
      </c>
      <c r="H58" s="217" t="s">
        <v>394</v>
      </c>
      <c r="I58" s="217" t="s">
        <v>275</v>
      </c>
      <c r="J58" s="180">
        <v>4</v>
      </c>
      <c r="K58" s="181" t="str">
        <f>IFERROR(CONCATENATE(INDEX(Ref!$Z$2:$Z$8,MATCH(H58,Ref!$AA$2:$AA$8,0)),".",I58,".SOP.",TEXT(J58,"000")),CONCATENATE(H58,".",I58,".SOP.",TEXT(J58,"000")))</f>
        <v>ALP.BSP.SOP.004</v>
      </c>
      <c r="L58" s="363" t="s">
        <v>504</v>
      </c>
      <c r="M58" s="182" t="s">
        <v>505</v>
      </c>
      <c r="N58" s="183" t="s">
        <v>117</v>
      </c>
      <c r="O58" s="182" t="s">
        <v>506</v>
      </c>
      <c r="P58" s="182" t="s">
        <v>507</v>
      </c>
      <c r="Q58" s="184" t="s">
        <v>89</v>
      </c>
      <c r="R58" s="184" t="s">
        <v>90</v>
      </c>
      <c r="S58" s="185" t="str">
        <f>IFERROR(CLEAN(INDEX('Risk Matrix'!$H$7:$L$11,MATCH($Q58,'Risk Matrix'!$F$7:$F$11,0),MATCH($R58,'Risk Matrix'!$H$6:$L$6,0))),"")</f>
        <v>Medium 2</v>
      </c>
      <c r="T58" s="85" t="str">
        <f>IF(LEFT($B58,7)=RIGHT('SOP template'!$B$1,7),_xlfn.NUMBERVALUE(RIGHT($S58,2)),"")</f>
        <v/>
      </c>
      <c r="U58" s="182" t="s">
        <v>511</v>
      </c>
      <c r="V58" s="182" t="s">
        <v>512</v>
      </c>
      <c r="W58" s="182" t="s">
        <v>513</v>
      </c>
      <c r="X58" s="182" t="s">
        <v>514</v>
      </c>
      <c r="Y58" s="182" t="s">
        <v>515</v>
      </c>
      <c r="Z58" s="182" t="s">
        <v>516</v>
      </c>
      <c r="AA58" s="186">
        <f>IFERROR(VLOOKUP(IFERROR(LEFT(S58,4),""),Ref!$AF$2:$AG$5,2,0),"")</f>
        <v>24</v>
      </c>
      <c r="AB58" s="186">
        <f>MIN($AA$58:$AA$75)</f>
        <v>24</v>
      </c>
      <c r="AC58" s="218" t="s">
        <v>289</v>
      </c>
      <c r="AD58" s="187" t="str">
        <f>IFERROR(VLOOKUP(AC58,'Training Matrix'!B$4:C$24,2,0),"")</f>
        <v>Dock Manager</v>
      </c>
      <c r="AE58" s="221">
        <v>45792</v>
      </c>
      <c r="AF58" s="188">
        <f t="shared" si="12"/>
        <v>46522</v>
      </c>
      <c r="AG58" s="189" t="str">
        <f t="shared" ca="1" si="9"/>
        <v>Current</v>
      </c>
      <c r="AH58" s="50" t="str">
        <f t="shared" ref="AH58" si="62">IF(OR(AC58="",AE58=""),"",CONCATENATE(AC58,"_",K58,"_",L58))</f>
        <v>Person 1_ALP.BSP.SOP.004_Use of Walk In Freezer</v>
      </c>
    </row>
    <row r="59" spans="1:34" ht="60" x14ac:dyDescent="0.25">
      <c r="A59" s="5" t="str">
        <f>IF(LEFT(F59,15)='SOP template'!$B$1,1,"")</f>
        <v/>
      </c>
      <c r="B59" s="190" t="str">
        <f t="shared" ref="B59" si="63">CONCATENATE(LEFT(B58,8),E59)</f>
        <v>SOP.004.2</v>
      </c>
      <c r="C59" s="190" t="str">
        <f>IF(ISBLANK($K59),CONCATENATE(LEFT($B58,8),IF($E59=1,1.1,IF($E59=2,1.4,IF($E59=3,2,IF($E59=4,2.4,IF($E59=5,3,IF($E59=6,3.4,IF($E59=7,4,IF($E59=8,4.4,IF($E59=9,5,IF($E59=10,5.4,IF($E59=11,6,IF($E59=12,6.4,""))))))))))))),CONCATENATE(RIGHT($K59,7),".1"))</f>
        <v>SOP.004.1.4</v>
      </c>
      <c r="D59" s="190" t="str">
        <f>IF(ISBLANK($K59),CONCATENATE(LEFT($B58,8),IF($E59=1,1,IF($E59=2,1.3,IF($E59=3,1.5,IF($E59=4,2,IF($E59=5,2.3,IF($E59=6,2.5,IF($E59=7,3,IF($E59=8,3.3,IF($E59=9,3.5,IF($E59=10,4,IF($E59=11,4.3,IF($E59=12,4.5,""))))))))))))),CONCATENATE(RIGHT($K59,7),".1"))</f>
        <v>SOP.004.1.3</v>
      </c>
      <c r="E59" s="190">
        <f t="shared" si="3"/>
        <v>2</v>
      </c>
      <c r="F59" s="190" t="str">
        <f>IF(K59=0,LEFT(F58,16)&amp;TEXT(E59,"00"),K59&amp;"."&amp;TEXT(E59,"00"))</f>
        <v>ALP.BSP.SOP.004.02</v>
      </c>
      <c r="G59" s="190" t="str">
        <f>IF(ISBLANK(N59),"",CONCATENATE(LEFT(F59,15),".",INDEX(Ref!A:A,MATCH(N59,Ref!$K$1:$K$333,0))))</f>
        <v>ALP.BSP.SOP.004.20</v>
      </c>
      <c r="H59" s="181"/>
      <c r="I59" s="183"/>
      <c r="J59" s="180"/>
      <c r="K59" s="181"/>
      <c r="L59" s="182"/>
      <c r="M59" s="182"/>
      <c r="N59" s="183" t="s">
        <v>133</v>
      </c>
      <c r="O59" s="182" t="s">
        <v>508</v>
      </c>
      <c r="P59" s="182" t="s">
        <v>509</v>
      </c>
      <c r="Q59" s="184" t="s">
        <v>89</v>
      </c>
      <c r="R59" s="184" t="s">
        <v>90</v>
      </c>
      <c r="S59" s="185" t="str">
        <f>IFERROR(CLEAN(INDEX('Risk Matrix'!$H$7:$L$11,MATCH($Q59,'Risk Matrix'!$F$7:$F$11,0),MATCH($R59,'Risk Matrix'!$H$6:$L$6,0))),"")</f>
        <v>Medium 2</v>
      </c>
      <c r="T59" s="85" t="str">
        <f>IF(LEFT($B59,7)=RIGHT('SOP template'!$B$1,7),_xlfn.NUMBERVALUE(RIGHT($S59,2)),"")</f>
        <v/>
      </c>
      <c r="U59" s="182" t="s">
        <v>517</v>
      </c>
      <c r="V59" s="182" t="s">
        <v>518</v>
      </c>
      <c r="W59" s="182" t="s">
        <v>519</v>
      </c>
      <c r="X59" s="182" t="s">
        <v>520</v>
      </c>
      <c r="Y59" s="182" t="s">
        <v>521</v>
      </c>
      <c r="Z59" s="182" t="s">
        <v>522</v>
      </c>
      <c r="AA59" s="186">
        <f>IFERROR(VLOOKUP(IFERROR(LEFT(S59,4),""),Ref!$AF$2:$AG$5,2,0),"")</f>
        <v>24</v>
      </c>
      <c r="AB59" s="186"/>
      <c r="AC59" s="218" t="s">
        <v>290</v>
      </c>
      <c r="AD59" s="187" t="str">
        <f>IFERROR(VLOOKUP(AC59,'Training Matrix'!B$4:C$24,2,0),"")</f>
        <v>WHS Team member</v>
      </c>
      <c r="AE59" s="221">
        <v>45792</v>
      </c>
      <c r="AF59" s="188">
        <f t="shared" si="12"/>
        <v>46522</v>
      </c>
      <c r="AG59" s="189" t="str">
        <f t="shared" ca="1" si="9"/>
        <v>Current</v>
      </c>
      <c r="AH59" s="50" t="str">
        <f t="shared" ref="AH59" si="64">IF(OR(AC59="",AE59=""),"",CONCATENATE(AC59,"_",K58,"_",L58))</f>
        <v>Person 2_ALP.BSP.SOP.004_Use of Walk In Freezer</v>
      </c>
    </row>
    <row r="60" spans="1:34" ht="45" x14ac:dyDescent="0.25">
      <c r="A60" s="5" t="str">
        <f>IF(LEFT(F60,15)='SOP template'!$B$1,1,"")</f>
        <v/>
      </c>
      <c r="B60" s="190" t="str">
        <f t="shared" si="16"/>
        <v>SOP.004.3</v>
      </c>
      <c r="C60" s="190" t="str">
        <f>IF(ISBLANK($K60),CONCATENATE(LEFT($B59,8),IF($E60=1,1.1,IF($E60=2,1.4,IF($E60=3,2,IF($E60=4,2.4,IF($E60=5,3,IF($E60=6,3.4,IF($E60=7,4,IF($E60=8,4.4,IF($E60=9,5,IF($E60=10,5.4,IF($E60=11,6,IF($E60=12,6.4,""))))))))))))),CONCATENATE(RIGHT($K60,7),".1"))</f>
        <v>SOP.004.2</v>
      </c>
      <c r="D60" s="190" t="str">
        <f>IF(ISBLANK($K60),CONCATENATE(LEFT($B59,8),IF($E60=1,1,IF($E60=2,1.3,IF($E60=3,1.5,IF($E60=4,2,IF($E60=5,2.3,IF($E60=6,2.5,IF($E60=7,3,IF($E60=8,3.3,IF($E60=9,3.5,IF($E60=10,4,IF($E60=11,4.3,IF($E60=12,4.5,""))))))))))))),CONCATENATE(RIGHT($K60,7),".1"))</f>
        <v>SOP.004.1.5</v>
      </c>
      <c r="E60" s="190">
        <f t="shared" si="3"/>
        <v>3</v>
      </c>
      <c r="F60" s="190" t="str">
        <f t="shared" si="18"/>
        <v>ALP.BSP.SOP.004.03</v>
      </c>
      <c r="G60" s="190" t="str">
        <f>IF(ISBLANK(N60),"",CONCATENATE(LEFT(F60,15),".",INDEX(Ref!A:A,MATCH(N60,Ref!$K$1:$K$333,0))))</f>
        <v>ALP.BSP.SOP.004.2</v>
      </c>
      <c r="H60" s="181"/>
      <c r="I60" s="183"/>
      <c r="J60" s="180"/>
      <c r="K60" s="181"/>
      <c r="L60" s="182"/>
      <c r="M60" s="182"/>
      <c r="N60" s="183" t="s">
        <v>94</v>
      </c>
      <c r="O60" s="182" t="s">
        <v>498</v>
      </c>
      <c r="P60" s="182" t="s">
        <v>499</v>
      </c>
      <c r="Q60" s="184" t="s">
        <v>92</v>
      </c>
      <c r="R60" s="184" t="s">
        <v>90</v>
      </c>
      <c r="S60" s="185" t="str">
        <f>IFERROR(CLEAN(INDEX('Risk Matrix'!$H$7:$L$11,MATCH($Q60,'Risk Matrix'!$F$7:$F$11,0),MATCH($R60,'Risk Matrix'!$H$6:$L$6,0))),"")</f>
        <v>Medium 2</v>
      </c>
      <c r="T60" s="85" t="str">
        <f>IF(LEFT($B60,7)=RIGHT('SOP template'!$B$1,7),_xlfn.NUMBERVALUE(RIGHT($S60,2)),"")</f>
        <v/>
      </c>
      <c r="U60" s="182" t="s">
        <v>523</v>
      </c>
      <c r="V60" s="182" t="s">
        <v>524</v>
      </c>
      <c r="W60" s="182" t="s">
        <v>525</v>
      </c>
      <c r="X60" s="182" t="s">
        <v>526</v>
      </c>
      <c r="Y60" s="182" t="s">
        <v>527</v>
      </c>
      <c r="Z60" s="182" t="s">
        <v>528</v>
      </c>
      <c r="AA60" s="186">
        <f>IFERROR(VLOOKUP(IFERROR(LEFT(S60,4),""),Ref!$AF$2:$AG$5,2,0),"")</f>
        <v>24</v>
      </c>
      <c r="AB60" s="186"/>
      <c r="AC60" s="218" t="s">
        <v>167</v>
      </c>
      <c r="AD60" s="187" t="str">
        <f>IFERROR(VLOOKUP(AC60,'Training Matrix'!B$4:C$24,2,0),"")</f>
        <v>Bioscience Manager</v>
      </c>
      <c r="AE60" s="221">
        <v>45792</v>
      </c>
      <c r="AF60" s="188">
        <f t="shared" si="12"/>
        <v>46522</v>
      </c>
      <c r="AG60" s="189" t="str">
        <f t="shared" ca="1" si="9"/>
        <v>Current</v>
      </c>
      <c r="AH60" s="50" t="str">
        <f t="shared" ref="AH60" si="65">IF(OR(AC60="",AE60=""),"",CONCATENATE(AC60,"_",K58,"_",L58))</f>
        <v>Person 3_ALP.BSP.SOP.004_Use of Walk In Freezer</v>
      </c>
    </row>
    <row r="61" spans="1:34" ht="45" x14ac:dyDescent="0.25">
      <c r="A61" s="5" t="str">
        <f>IF(LEFT(F61,15)='SOP template'!$B$1,1,"")</f>
        <v/>
      </c>
      <c r="B61" s="190" t="str">
        <f t="shared" si="16"/>
        <v>SOP.004.4</v>
      </c>
      <c r="C61" s="190" t="str">
        <f t="shared" ref="C61:C75" si="66">IF(ISBLANK($K61),CONCATENATE(LEFT($B60,8),IF($E61=1,1.1,IF($E61=2,1.4,IF($E61=3,2,IF($E61=4,2.4,IF($E61=5,3,IF($E61=6,3.4,IF($E61=7,4,IF($E61=8,4.4,IF($E61=9,5,IF($E61=10,5.4,IF($E61=11,6,IF($E61=12,6.4,""))))))))))))),CONCATENATE(RIGHT($K61,7),".1"))</f>
        <v>SOP.004.2.4</v>
      </c>
      <c r="D61" s="190" t="str">
        <f t="shared" ref="D61:D75" si="67">IF(ISBLANK($K61),CONCATENATE(LEFT($B60,8),IF($E61=1,1,IF($E61=2,1.3,IF($E61=3,1.5,IF($E61=4,2,IF($E61=5,2.3,IF($E61=6,2.5,IF($E61=7,3,IF($E61=8,3.3,IF($E61=9,3.5,IF($E61=10,4,IF($E61=11,4.3,IF($E61=12,4.5,""))))))))))))),CONCATENATE(RIGHT($K61,7),".1"))</f>
        <v>SOP.004.2</v>
      </c>
      <c r="E61" s="190">
        <f t="shared" si="3"/>
        <v>4</v>
      </c>
      <c r="F61" s="190" t="str">
        <f t="shared" si="18"/>
        <v>ALP.BSP.SOP.004.04</v>
      </c>
      <c r="G61" s="190" t="str">
        <f>IF(ISBLANK(N61),"",CONCATENATE(LEFT(F61,15),".",INDEX(Ref!A:A,MATCH(N61,Ref!$K$1:$K$333,0))))</f>
        <v>ALP.BSP.SOP.004.7</v>
      </c>
      <c r="H61" s="181"/>
      <c r="I61" s="183"/>
      <c r="J61" s="180"/>
      <c r="K61" s="181"/>
      <c r="L61" s="182"/>
      <c r="M61" s="182"/>
      <c r="N61" s="183" t="s">
        <v>88</v>
      </c>
      <c r="O61" s="182" t="s">
        <v>411</v>
      </c>
      <c r="P61" s="182" t="s">
        <v>510</v>
      </c>
      <c r="Q61" s="184" t="s">
        <v>92</v>
      </c>
      <c r="R61" s="184" t="s">
        <v>91</v>
      </c>
      <c r="S61" s="185" t="str">
        <f>IFERROR(CLEAN(INDEX('Risk Matrix'!$H$7:$L$11,MATCH($Q61,'Risk Matrix'!$F$7:$F$11,0),MATCH($R61,'Risk Matrix'!$H$6:$L$6,0))),"")</f>
        <v>Medium 2</v>
      </c>
      <c r="T61" s="85" t="str">
        <f>IF(LEFT($B61,7)=RIGHT('SOP template'!$B$1,7),_xlfn.NUMBERVALUE(RIGHT($S61,2)),"")</f>
        <v/>
      </c>
      <c r="U61" s="182" t="s">
        <v>529</v>
      </c>
      <c r="V61" s="182" t="s">
        <v>530</v>
      </c>
      <c r="W61" s="182" t="s">
        <v>531</v>
      </c>
      <c r="X61" s="182" t="s">
        <v>532</v>
      </c>
      <c r="Y61" s="182" t="s">
        <v>533</v>
      </c>
      <c r="Z61" s="182"/>
      <c r="AA61" s="186">
        <f>IFERROR(VLOOKUP(IFERROR(LEFT(S61,4),""),Ref!$AF$2:$AG$5,2,0),"")</f>
        <v>24</v>
      </c>
      <c r="AB61" s="186"/>
      <c r="AC61" s="218" t="s">
        <v>168</v>
      </c>
      <c r="AD61" s="187" t="str">
        <f>IFERROR(VLOOKUP(AC61,'Training Matrix'!B$4:C$24,2,0),"")</f>
        <v>Collection Manager</v>
      </c>
      <c r="AE61" s="221">
        <v>45792</v>
      </c>
      <c r="AF61" s="188">
        <f t="shared" si="12"/>
        <v>46522</v>
      </c>
      <c r="AG61" s="189" t="str">
        <f t="shared" ca="1" si="9"/>
        <v>Current</v>
      </c>
      <c r="AH61" s="50" t="str">
        <f t="shared" ref="AH61" si="68">IF(OR(AC61="",AE61=""),"",CONCATENATE(AC61,"_",K58,"_",L58))</f>
        <v>Person 4_ALP.BSP.SOP.004_Use of Walk In Freezer</v>
      </c>
    </row>
    <row r="62" spans="1:34" ht="45" x14ac:dyDescent="0.25">
      <c r="A62" s="5" t="str">
        <f>IF(LEFT(F62,15)='SOP template'!$B$1,1,"")</f>
        <v/>
      </c>
      <c r="B62" s="190" t="str">
        <f t="shared" si="16"/>
        <v>SOP.004.5</v>
      </c>
      <c r="C62" s="190" t="str">
        <f t="shared" si="66"/>
        <v>SOP.004.3</v>
      </c>
      <c r="D62" s="190" t="str">
        <f t="shared" si="67"/>
        <v>SOP.004.2.3</v>
      </c>
      <c r="E62" s="190">
        <f t="shared" si="3"/>
        <v>5</v>
      </c>
      <c r="F62" s="190" t="str">
        <f t="shared" si="18"/>
        <v>ALP.BSP.SOP.004.05</v>
      </c>
      <c r="G62" s="190" t="str">
        <f>IF(ISBLANK(N62),"",CONCATENATE(LEFT(F62,15),".",INDEX(Ref!A:A,MATCH(N62,Ref!$K$1:$K$333,0))))</f>
        <v>ALP.BSP.SOP.004.12</v>
      </c>
      <c r="H62" s="155"/>
      <c r="I62" s="130"/>
      <c r="J62" s="180"/>
      <c r="K62" s="155"/>
      <c r="L62" s="238"/>
      <c r="M62" s="238"/>
      <c r="N62" s="183" t="s">
        <v>125</v>
      </c>
      <c r="O62" s="182" t="s">
        <v>502</v>
      </c>
      <c r="P62" s="182" t="s">
        <v>503</v>
      </c>
      <c r="Q62" s="184" t="s">
        <v>89</v>
      </c>
      <c r="R62" s="184" t="s">
        <v>91</v>
      </c>
      <c r="S62" s="185" t="str">
        <f>IFERROR(CLEAN(INDEX('Risk Matrix'!$H$7:$L$11,MATCH($Q62,'Risk Matrix'!$F$7:$F$11,0),MATCH($R62,'Risk Matrix'!$H$6:$L$6,0))),"")</f>
        <v>Low 1</v>
      </c>
      <c r="T62" s="85" t="str">
        <f>IF(LEFT($B62,7)=RIGHT('SOP template'!$B$1,7),_xlfn.NUMBERVALUE(RIGHT($S62,2)),"")</f>
        <v/>
      </c>
      <c r="U62" s="182" t="s">
        <v>493</v>
      </c>
      <c r="V62" s="182"/>
      <c r="W62" s="182"/>
      <c r="X62" s="182" t="s">
        <v>534</v>
      </c>
      <c r="Y62" s="182" t="s">
        <v>535</v>
      </c>
      <c r="Z62" s="182"/>
      <c r="AA62" s="186">
        <f>IFERROR(VLOOKUP(IFERROR(LEFT(S62,4),""),Ref!$AF$2:$AG$5,2,0),"")</f>
        <v>36</v>
      </c>
      <c r="AB62" s="186"/>
      <c r="AC62" s="218" t="s">
        <v>169</v>
      </c>
      <c r="AD62" s="187" t="str">
        <f>IFERROR(VLOOKUP(AC62,'Training Matrix'!B$4:C$24,2,0),"")</f>
        <v>Technician</v>
      </c>
      <c r="AE62" s="221">
        <v>45792</v>
      </c>
      <c r="AF62" s="188">
        <f t="shared" si="12"/>
        <v>46522</v>
      </c>
      <c r="AG62" s="189" t="str">
        <f t="shared" ca="1" si="9"/>
        <v>Current</v>
      </c>
      <c r="AH62" s="50" t="str">
        <f t="shared" ref="AH62" si="69">IF(OR(AC62="",AE62=""),"",CONCATENATE(AC62,"_",K58,"_",L58))</f>
        <v>Person 5_ALP.BSP.SOP.004_Use of Walk In Freezer</v>
      </c>
    </row>
    <row r="63" spans="1:34" ht="30" x14ac:dyDescent="0.25">
      <c r="A63" s="5" t="str">
        <f>IF(LEFT(F63,15)='SOP template'!$B$1,1,"")</f>
        <v/>
      </c>
      <c r="B63" s="190" t="str">
        <f t="shared" si="16"/>
        <v>SOP.004.6</v>
      </c>
      <c r="C63" s="190" t="str">
        <f t="shared" si="66"/>
        <v>SOP.004.3.4</v>
      </c>
      <c r="D63" s="190" t="str">
        <f t="shared" si="67"/>
        <v>SOP.004.2.5</v>
      </c>
      <c r="E63" s="190">
        <f t="shared" si="3"/>
        <v>6</v>
      </c>
      <c r="F63" s="190" t="str">
        <f t="shared" si="18"/>
        <v>ALP.BSP.SOP.004.06</v>
      </c>
      <c r="G63" s="190" t="str">
        <f>IF(ISBLANK(N63),"",CONCATENATE(LEFT(F63,15),".",INDEX(Ref!A:A,MATCH(N63,Ref!$K$1:$K$333,0))))</f>
        <v>ALP.BSP.SOP.004.21</v>
      </c>
      <c r="H63" s="155"/>
      <c r="I63" s="130"/>
      <c r="J63" s="180"/>
      <c r="K63" s="155"/>
      <c r="L63" s="238"/>
      <c r="M63" s="238"/>
      <c r="N63" s="183" t="s">
        <v>134</v>
      </c>
      <c r="O63" s="182" t="s">
        <v>417</v>
      </c>
      <c r="P63" s="182" t="s">
        <v>418</v>
      </c>
      <c r="Q63" s="184" t="s">
        <v>89</v>
      </c>
      <c r="R63" s="184" t="s">
        <v>91</v>
      </c>
      <c r="S63" s="185" t="str">
        <f>IFERROR(CLEAN(INDEX('Risk Matrix'!$H$7:$L$11,MATCH($Q63,'Risk Matrix'!$F$7:$F$11,0),MATCH($R63,'Risk Matrix'!$H$6:$L$6,0))),"")</f>
        <v>Low 1</v>
      </c>
      <c r="T63" s="85" t="str">
        <f>IF(LEFT($B63,7)=RIGHT('SOP template'!$B$1,7),_xlfn.NUMBERVALUE(RIGHT($S63,2)),"")</f>
        <v/>
      </c>
      <c r="U63" s="182" t="s">
        <v>437</v>
      </c>
      <c r="V63" s="182"/>
      <c r="W63" s="182"/>
      <c r="X63" s="182" t="s">
        <v>536</v>
      </c>
      <c r="Y63" s="182" t="s">
        <v>537</v>
      </c>
      <c r="Z63" s="182"/>
      <c r="AA63" s="186">
        <f>IFERROR(VLOOKUP(IFERROR(LEFT(S63,4),""),Ref!$AF$2:$AG$5,2,0),"")</f>
        <v>36</v>
      </c>
      <c r="AB63" s="186"/>
      <c r="AC63" s="218" t="s">
        <v>170</v>
      </c>
      <c r="AD63" s="187" t="str">
        <f>IFERROR(VLOOKUP(AC63,'Training Matrix'!B$4:C$24,2,0),"")</f>
        <v>Scientist</v>
      </c>
      <c r="AE63" s="221">
        <v>45792</v>
      </c>
      <c r="AF63" s="188">
        <f t="shared" si="12"/>
        <v>46522</v>
      </c>
      <c r="AG63" s="189" t="str">
        <f t="shared" ca="1" si="9"/>
        <v>Current</v>
      </c>
      <c r="AH63" s="50" t="str">
        <f t="shared" ref="AH63" si="70">IF(OR(AC63="",AE63=""),"",CONCATENATE(AC63,"_",K58,"_",L58))</f>
        <v>Person 6_ALP.BSP.SOP.004_Use of Walk In Freezer</v>
      </c>
    </row>
    <row r="64" spans="1:34" x14ac:dyDescent="0.25">
      <c r="A64" s="5" t="str">
        <f>IF(LEFT(F64,15)='SOP template'!$B$1,1,"")</f>
        <v/>
      </c>
      <c r="B64" s="190" t="str">
        <f t="shared" si="16"/>
        <v>SOP.004.7</v>
      </c>
      <c r="C64" s="190" t="str">
        <f t="shared" si="66"/>
        <v>SOP.004.4</v>
      </c>
      <c r="D64" s="190" t="str">
        <f t="shared" si="67"/>
        <v>SOP.004.3</v>
      </c>
      <c r="E64" s="190">
        <f t="shared" si="3"/>
        <v>7</v>
      </c>
      <c r="F64" s="190" t="str">
        <f t="shared" si="18"/>
        <v>ALP.BSP.SOP.004.07</v>
      </c>
      <c r="G64" s="190" t="str">
        <f>IF(ISBLANK(N64),"",CONCATENATE(LEFT(F64,15),".",INDEX(Ref!A:A,MATCH(N64,Ref!$K$1:$K$333,0))))</f>
        <v>ALP.BSP.SOP.004.22</v>
      </c>
      <c r="H64" s="155"/>
      <c r="I64" s="130"/>
      <c r="J64" s="180"/>
      <c r="K64" s="155"/>
      <c r="L64" s="238"/>
      <c r="M64" s="238"/>
      <c r="N64" s="183" t="s">
        <v>286</v>
      </c>
      <c r="O64" s="182"/>
      <c r="P64" s="182"/>
      <c r="Q64" s="184"/>
      <c r="R64" s="184"/>
      <c r="S64" s="185" t="str">
        <f>IFERROR(CLEAN(INDEX('Risk Matrix'!$H$7:$L$11,MATCH($Q64,'Risk Matrix'!$F$7:$F$11,0),MATCH($R64,'Risk Matrix'!$H$6:$L$6,0))),"")</f>
        <v/>
      </c>
      <c r="T64" s="85" t="str">
        <f>IF(LEFT($B64,7)=RIGHT('SOP template'!$B$1,7),_xlfn.NUMBERVALUE(RIGHT($S64,2)),"")</f>
        <v/>
      </c>
      <c r="U64" s="182"/>
      <c r="V64" s="182"/>
      <c r="W64" s="182"/>
      <c r="X64" s="182" t="s">
        <v>538</v>
      </c>
      <c r="Y64" s="182" t="s">
        <v>539</v>
      </c>
      <c r="Z64" s="182"/>
      <c r="AA64" s="186" t="str">
        <f>IFERROR(VLOOKUP(IFERROR(LEFT(S64,4),""),Ref!$AF$2:$AG$5,2,0),"")</f>
        <v/>
      </c>
      <c r="AB64" s="186"/>
      <c r="AC64" s="218"/>
      <c r="AD64" s="187" t="str">
        <f>IFERROR(VLOOKUP(AC64,'Training Matrix'!B$4:C$24,2,0),"")</f>
        <v/>
      </c>
      <c r="AE64" s="221"/>
      <c r="AF64" s="188" t="str">
        <f t="shared" si="12"/>
        <v/>
      </c>
      <c r="AG64" s="189" t="str">
        <f t="shared" ca="1" si="9"/>
        <v/>
      </c>
      <c r="AH64" s="50" t="str">
        <f t="shared" ref="AH64" si="71">IF(OR(AC64="",AE64=""),"",CONCATENATE(AC64,"_",K58,"_",L58))</f>
        <v/>
      </c>
    </row>
    <row r="65" spans="1:34" x14ac:dyDescent="0.25">
      <c r="A65" s="5" t="str">
        <f>IF(LEFT(F65,15)='SOP template'!$B$1,1,"")</f>
        <v/>
      </c>
      <c r="B65" s="190" t="str">
        <f t="shared" si="16"/>
        <v>SOP.004.8</v>
      </c>
      <c r="C65" s="190" t="str">
        <f t="shared" si="66"/>
        <v>SOP.004.4.4</v>
      </c>
      <c r="D65" s="190" t="str">
        <f t="shared" si="67"/>
        <v>SOP.004.3.3</v>
      </c>
      <c r="E65" s="190">
        <f t="shared" si="3"/>
        <v>8</v>
      </c>
      <c r="F65" s="190" t="str">
        <f t="shared" si="18"/>
        <v>ALP.BSP.SOP.004.08</v>
      </c>
      <c r="G65" s="190" t="str">
        <f>IF(ISBLANK(N65),"",CONCATENATE(LEFT(F65,15),".",INDEX(Ref!A:A,MATCH(N65,Ref!$K$1:$K$333,0))))</f>
        <v/>
      </c>
      <c r="H65" s="155"/>
      <c r="I65" s="130"/>
      <c r="J65" s="180"/>
      <c r="K65" s="155"/>
      <c r="L65" s="238"/>
      <c r="M65" s="238"/>
      <c r="N65" s="183"/>
      <c r="O65" s="182"/>
      <c r="P65" s="182"/>
      <c r="Q65" s="184"/>
      <c r="R65" s="184"/>
      <c r="S65" s="185" t="str">
        <f>IFERROR(CLEAN(INDEX('Risk Matrix'!$H$7:$L$11,MATCH($Q65,'Risk Matrix'!$F$7:$F$11,0),MATCH($R65,'Risk Matrix'!$H$6:$L$6,0))),"")</f>
        <v/>
      </c>
      <c r="T65" s="85" t="str">
        <f>IF(LEFT($B65,7)=RIGHT('SOP template'!$B$1,7),_xlfn.NUMBERVALUE(RIGHT($S65,2)),"")</f>
        <v/>
      </c>
      <c r="U65" s="182"/>
      <c r="V65" s="182"/>
      <c r="W65" s="182"/>
      <c r="X65" s="182"/>
      <c r="Y65" s="182"/>
      <c r="Z65" s="182"/>
      <c r="AA65" s="186" t="str">
        <f>IFERROR(VLOOKUP(IFERROR(LEFT(S65,4),""),Ref!$AF$2:$AG$5,2,0),"")</f>
        <v/>
      </c>
      <c r="AB65" s="186"/>
      <c r="AC65" s="218"/>
      <c r="AD65" s="187" t="str">
        <f>IFERROR(VLOOKUP(AC65,'Training Matrix'!B$4:C$24,2,0),"")</f>
        <v/>
      </c>
      <c r="AE65" s="221"/>
      <c r="AF65" s="188" t="str">
        <f t="shared" si="12"/>
        <v/>
      </c>
      <c r="AG65" s="189" t="str">
        <f t="shared" ca="1" si="9"/>
        <v/>
      </c>
      <c r="AH65" s="50" t="str">
        <f t="shared" ref="AH65" si="72">IF(OR(AC65="",AE65=""),"",CONCATENATE(AC65,"_",K58,"_",L58))</f>
        <v/>
      </c>
    </row>
    <row r="66" spans="1:34" x14ac:dyDescent="0.25">
      <c r="A66" s="5" t="str">
        <f>IF(LEFT(F66,15)='SOP template'!$B$1,1,"")</f>
        <v/>
      </c>
      <c r="B66" s="190" t="str">
        <f t="shared" si="16"/>
        <v>SOP.004.9</v>
      </c>
      <c r="C66" s="190" t="str">
        <f t="shared" si="66"/>
        <v>SOP.004.5</v>
      </c>
      <c r="D66" s="190" t="str">
        <f t="shared" si="67"/>
        <v>SOP.004.3.5</v>
      </c>
      <c r="E66" s="190">
        <f t="shared" si="3"/>
        <v>9</v>
      </c>
      <c r="F66" s="190" t="str">
        <f t="shared" si="18"/>
        <v>ALP.BSP.SOP.004.09</v>
      </c>
      <c r="G66" s="190" t="str">
        <f>IF(ISBLANK(N66),"",CONCATENATE(LEFT(F66,15),".",INDEX(Ref!A:A,MATCH(N66,Ref!$K$1:$K$333,0))))</f>
        <v/>
      </c>
      <c r="H66" s="155"/>
      <c r="I66" s="130"/>
      <c r="J66" s="180"/>
      <c r="K66" s="155"/>
      <c r="L66" s="238"/>
      <c r="M66" s="238"/>
      <c r="N66" s="183"/>
      <c r="O66" s="182"/>
      <c r="P66" s="182"/>
      <c r="Q66" s="184"/>
      <c r="R66" s="184"/>
      <c r="S66" s="185" t="str">
        <f>IFERROR(CLEAN(INDEX('Risk Matrix'!$H$7:$L$11,MATCH($Q66,'Risk Matrix'!$F$7:$F$11,0),MATCH($R66,'Risk Matrix'!$H$6:$L$6,0))),"")</f>
        <v/>
      </c>
      <c r="T66" s="85" t="str">
        <f>IF(LEFT($B66,7)=RIGHT('SOP template'!$B$1,7),_xlfn.NUMBERVALUE(RIGHT($S66,2)),"")</f>
        <v/>
      </c>
      <c r="U66" s="182"/>
      <c r="V66" s="182"/>
      <c r="W66" s="182"/>
      <c r="X66" s="182"/>
      <c r="Y66" s="182"/>
      <c r="Z66" s="182"/>
      <c r="AA66" s="186" t="str">
        <f>IFERROR(VLOOKUP(IFERROR(LEFT(S66,4),""),Ref!$AF$2:$AG$5,2,0),"")</f>
        <v/>
      </c>
      <c r="AB66" s="186"/>
      <c r="AC66" s="218"/>
      <c r="AD66" s="187" t="str">
        <f>IFERROR(VLOOKUP(AC66,'Training Matrix'!B$4:C$24,2,0),"")</f>
        <v/>
      </c>
      <c r="AE66" s="221"/>
      <c r="AF66" s="188" t="str">
        <f t="shared" si="12"/>
        <v/>
      </c>
      <c r="AG66" s="189" t="str">
        <f t="shared" ca="1" si="9"/>
        <v/>
      </c>
      <c r="AH66" s="50" t="str">
        <f t="shared" ref="AH66" si="73">IF(OR(AC66="",AE66=""),"",CONCATENATE(AC66,"_",K58,"_",L58))</f>
        <v/>
      </c>
    </row>
    <row r="67" spans="1:34" x14ac:dyDescent="0.25">
      <c r="A67" s="5" t="str">
        <f>IF(LEFT(F67,15)='SOP template'!$B$1,1,"")</f>
        <v/>
      </c>
      <c r="B67" s="190" t="str">
        <f t="shared" si="16"/>
        <v>SOP.004.10</v>
      </c>
      <c r="C67" s="190" t="str">
        <f t="shared" si="66"/>
        <v>SOP.004.5.4</v>
      </c>
      <c r="D67" s="190" t="str">
        <f t="shared" si="67"/>
        <v>SOP.004.4</v>
      </c>
      <c r="E67" s="190">
        <f t="shared" si="3"/>
        <v>10</v>
      </c>
      <c r="F67" s="190" t="str">
        <f t="shared" si="18"/>
        <v>ALP.BSP.SOP.004.10</v>
      </c>
      <c r="G67" s="190" t="str">
        <f>IF(ISBLANK(N67),"",CONCATENATE(LEFT(F67,15),".",INDEX(Ref!A:A,MATCH(N67,Ref!$K$1:$K$333,0))))</f>
        <v/>
      </c>
      <c r="H67" s="155"/>
      <c r="I67" s="130"/>
      <c r="J67" s="180"/>
      <c r="K67" s="155"/>
      <c r="L67" s="238"/>
      <c r="M67" s="238"/>
      <c r="N67" s="183"/>
      <c r="O67" s="182"/>
      <c r="P67" s="182"/>
      <c r="Q67" s="184"/>
      <c r="R67" s="184"/>
      <c r="S67" s="185" t="str">
        <f>IFERROR(CLEAN(INDEX('Risk Matrix'!$H$7:$L$11,MATCH($Q67,'Risk Matrix'!$F$7:$F$11,0),MATCH($R67,'Risk Matrix'!$H$6:$L$6,0))),"")</f>
        <v/>
      </c>
      <c r="T67" s="85" t="str">
        <f>IF(LEFT($B67,7)=RIGHT('SOP template'!$B$1,7),_xlfn.NUMBERVALUE(RIGHT($S67,2)),"")</f>
        <v/>
      </c>
      <c r="U67" s="182"/>
      <c r="V67" s="182"/>
      <c r="W67" s="182"/>
      <c r="X67" s="182"/>
      <c r="Y67" s="182"/>
      <c r="Z67" s="182"/>
      <c r="AA67" s="186" t="str">
        <f>IFERROR(VLOOKUP(IFERROR(LEFT(S67,4),""),Ref!$AF$2:$AG$5,2,0),"")</f>
        <v/>
      </c>
      <c r="AB67" s="186"/>
      <c r="AC67" s="218"/>
      <c r="AD67" s="187" t="str">
        <f>IFERROR(VLOOKUP(AC67,'Training Matrix'!B$4:C$24,2,0),"")</f>
        <v/>
      </c>
      <c r="AE67" s="221"/>
      <c r="AF67" s="188" t="str">
        <f t="shared" si="12"/>
        <v/>
      </c>
      <c r="AG67" s="189" t="str">
        <f t="shared" ca="1" si="9"/>
        <v/>
      </c>
      <c r="AH67" s="50" t="str">
        <f t="shared" ref="AH67" si="74">IF(OR(AC67="",AE67=""),"",CONCATENATE(AC67,"_",K58,"_",L58))</f>
        <v/>
      </c>
    </row>
    <row r="68" spans="1:34" x14ac:dyDescent="0.25">
      <c r="A68" s="5" t="str">
        <f>IF(LEFT(F68,15)='SOP template'!$B$1,1,"")</f>
        <v/>
      </c>
      <c r="B68" s="190" t="str">
        <f t="shared" ref="B68:B75" si="75">CONCATENATE(LEFT(B67,8),E68)</f>
        <v>SOP.004.11</v>
      </c>
      <c r="C68" s="190" t="str">
        <f t="shared" si="66"/>
        <v>SOP.004.6</v>
      </c>
      <c r="D68" s="190" t="str">
        <f t="shared" si="67"/>
        <v>SOP.004.4.3</v>
      </c>
      <c r="E68" s="190">
        <f t="shared" si="3"/>
        <v>11</v>
      </c>
      <c r="F68" s="190" t="str">
        <f t="shared" ref="F68:F75" si="76">IF(K68=0,LEFT(F67,16)&amp;TEXT(E68,"00"),K68&amp;"."&amp;TEXT(E68,"00"))</f>
        <v>ALP.BSP.SOP.004.11</v>
      </c>
      <c r="G68" s="190" t="str">
        <f>IF(ISBLANK(N68),"",CONCATENATE(LEFT(F68,15),".",INDEX(Ref!A:A,MATCH(N68,Ref!$K$1:$K$333,0))))</f>
        <v/>
      </c>
      <c r="H68" s="155"/>
      <c r="I68" s="130"/>
      <c r="J68" s="180"/>
      <c r="K68" s="155"/>
      <c r="L68" s="238"/>
      <c r="M68" s="238"/>
      <c r="N68" s="183"/>
      <c r="O68" s="182"/>
      <c r="P68" s="182"/>
      <c r="Q68" s="184"/>
      <c r="R68" s="184"/>
      <c r="S68" s="185" t="str">
        <f>IFERROR(CLEAN(INDEX('Risk Matrix'!$H$7:$L$11,MATCH($Q68,'Risk Matrix'!$F$7:$F$11,0),MATCH($R68,'Risk Matrix'!$H$6:$L$6,0))),"")</f>
        <v/>
      </c>
      <c r="T68" s="85" t="str">
        <f>IF(LEFT($B68,7)=RIGHT('SOP template'!$B$1,7),_xlfn.NUMBERVALUE(RIGHT($S68,2)),"")</f>
        <v/>
      </c>
      <c r="U68" s="182"/>
      <c r="V68" s="182"/>
      <c r="W68" s="182"/>
      <c r="X68" s="182"/>
      <c r="Y68" s="182"/>
      <c r="Z68" s="182"/>
      <c r="AA68" s="186" t="str">
        <f>IFERROR(VLOOKUP(IFERROR(LEFT(S68,4),""),Ref!$AF$2:$AG$5,2,0),"")</f>
        <v/>
      </c>
      <c r="AB68" s="186"/>
      <c r="AC68" s="218"/>
      <c r="AD68" s="187" t="str">
        <f>IFERROR(VLOOKUP(AC68,'Training Matrix'!B$4:C$24,2,0),"")</f>
        <v/>
      </c>
      <c r="AE68" s="221"/>
      <c r="AF68" s="188" t="str">
        <f t="shared" si="12"/>
        <v/>
      </c>
      <c r="AG68" s="189" t="str">
        <f t="shared" ca="1" si="9"/>
        <v/>
      </c>
      <c r="AH68" s="50" t="str">
        <f t="shared" ref="AH68" si="77">IF(OR(AC68="",AE68=""),"",CONCATENATE(AC68,"_",K58,"_",L58))</f>
        <v/>
      </c>
    </row>
    <row r="69" spans="1:34" x14ac:dyDescent="0.25">
      <c r="A69" s="5" t="str">
        <f>IF(LEFT(F69,15)='SOP template'!$B$1,1,"")</f>
        <v/>
      </c>
      <c r="B69" s="190" t="str">
        <f t="shared" si="75"/>
        <v>SOP.004.12</v>
      </c>
      <c r="C69" s="190" t="str">
        <f t="shared" si="66"/>
        <v>SOP.004.6.4</v>
      </c>
      <c r="D69" s="190" t="str">
        <f t="shared" si="67"/>
        <v>SOP.004.4.5</v>
      </c>
      <c r="E69" s="190">
        <f t="shared" ref="E69:E132" si="78">IF(ISBLANK($K69),$E68+1,1)</f>
        <v>12</v>
      </c>
      <c r="F69" s="190" t="str">
        <f t="shared" si="76"/>
        <v>ALP.BSP.SOP.004.12</v>
      </c>
      <c r="G69" s="190" t="str">
        <f>IF(ISBLANK(N69),"",CONCATENATE(LEFT(F69,15),".",INDEX(Ref!A:A,MATCH(N69,Ref!$K$1:$K$333,0))))</f>
        <v/>
      </c>
      <c r="H69" s="155"/>
      <c r="I69" s="130"/>
      <c r="J69" s="180"/>
      <c r="K69" s="155"/>
      <c r="L69" s="238"/>
      <c r="M69" s="238"/>
      <c r="N69" s="183"/>
      <c r="O69" s="182"/>
      <c r="P69" s="182"/>
      <c r="Q69" s="184"/>
      <c r="R69" s="184"/>
      <c r="S69" s="185" t="str">
        <f>IFERROR(CLEAN(INDEX('Risk Matrix'!$H$7:$L$11,MATCH($Q69,'Risk Matrix'!$F$7:$F$11,0),MATCH($R69,'Risk Matrix'!$H$6:$L$6,0))),"")</f>
        <v/>
      </c>
      <c r="T69" s="85" t="str">
        <f>IF(LEFT($B69,7)=RIGHT('SOP template'!$B$1,7),_xlfn.NUMBERVALUE(RIGHT($S69,2)),"")</f>
        <v/>
      </c>
      <c r="U69" s="182"/>
      <c r="V69" s="182"/>
      <c r="W69" s="182"/>
      <c r="X69" s="182"/>
      <c r="Y69" s="182"/>
      <c r="Z69" s="182"/>
      <c r="AA69" s="186" t="str">
        <f>IFERROR(VLOOKUP(IFERROR(LEFT(S69,4),""),Ref!$AF$2:$AG$5,2,0),"")</f>
        <v/>
      </c>
      <c r="AB69" s="186"/>
      <c r="AC69" s="218"/>
      <c r="AD69" s="187" t="str">
        <f>IFERROR(VLOOKUP(AC69,'Training Matrix'!B$4:C$24,2,0),"")</f>
        <v/>
      </c>
      <c r="AE69" s="221"/>
      <c r="AF69" s="188" t="str">
        <f t="shared" si="12"/>
        <v/>
      </c>
      <c r="AG69" s="189" t="str">
        <f t="shared" ca="1" si="9"/>
        <v/>
      </c>
      <c r="AH69" s="50" t="str">
        <f t="shared" ref="AH69" si="79">IF(OR(AC69="",AE69=""),"",CONCATENATE(AC69,"_",K58,"_",L58))</f>
        <v/>
      </c>
    </row>
    <row r="70" spans="1:34" x14ac:dyDescent="0.25">
      <c r="A70" s="5" t="str">
        <f>IF(LEFT(F70,15)='SOP template'!$B$1,1,"")</f>
        <v/>
      </c>
      <c r="B70" s="190" t="str">
        <f t="shared" si="75"/>
        <v>SOP.004.13</v>
      </c>
      <c r="C70" s="190" t="str">
        <f t="shared" si="66"/>
        <v>SOP.004.</v>
      </c>
      <c r="D70" s="190" t="str">
        <f t="shared" si="67"/>
        <v>SOP.004.</v>
      </c>
      <c r="E70" s="190">
        <f t="shared" si="78"/>
        <v>13</v>
      </c>
      <c r="F70" s="190" t="str">
        <f t="shared" si="76"/>
        <v>ALP.BSP.SOP.004.13</v>
      </c>
      <c r="G70" s="190" t="str">
        <f>IF(ISBLANK(N70),"",CONCATENATE(LEFT(F70,15),".",INDEX(Ref!A:A,MATCH(N70,Ref!$K$1:$K$333,0))))</f>
        <v/>
      </c>
      <c r="H70" s="155"/>
      <c r="I70" s="130"/>
      <c r="J70" s="180"/>
      <c r="K70" s="155"/>
      <c r="L70" s="238"/>
      <c r="M70" s="238"/>
      <c r="N70" s="183"/>
      <c r="O70" s="182"/>
      <c r="P70" s="182"/>
      <c r="Q70" s="184"/>
      <c r="R70" s="184"/>
      <c r="S70" s="185" t="str">
        <f>IFERROR(CLEAN(INDEX('Risk Matrix'!$H$7:$L$11,MATCH($Q70,'Risk Matrix'!$F$7:$F$11,0),MATCH($R70,'Risk Matrix'!$H$6:$L$6,0))),"")</f>
        <v/>
      </c>
      <c r="T70" s="85" t="str">
        <f>IF(LEFT($B70,7)=RIGHT('SOP template'!$B$1,7),_xlfn.NUMBERVALUE(RIGHT($S70,2)),"")</f>
        <v/>
      </c>
      <c r="U70" s="182"/>
      <c r="V70" s="182"/>
      <c r="W70" s="182"/>
      <c r="X70" s="182"/>
      <c r="Y70" s="182"/>
      <c r="Z70" s="182"/>
      <c r="AA70" s="186" t="str">
        <f>IFERROR(VLOOKUP(IFERROR(LEFT(S70,4),""),Ref!$AF$2:$AG$5,2,0),"")</f>
        <v/>
      </c>
      <c r="AB70" s="186"/>
      <c r="AC70" s="218"/>
      <c r="AD70" s="187" t="str">
        <f>IFERROR(VLOOKUP(AC70,'Training Matrix'!B$4:C$24,2,0),"")</f>
        <v/>
      </c>
      <c r="AE70" s="221"/>
      <c r="AF70" s="188" t="str">
        <f t="shared" si="12"/>
        <v/>
      </c>
      <c r="AG70" s="189" t="str">
        <f t="shared" ca="1" si="9"/>
        <v/>
      </c>
      <c r="AH70" s="50" t="str">
        <f t="shared" ref="AH70" si="80">IF(OR(AC70="",AE70=""),"",CONCATENATE(AC70,"_",K58,"_",L58))</f>
        <v/>
      </c>
    </row>
    <row r="71" spans="1:34" x14ac:dyDescent="0.25">
      <c r="A71" s="5" t="str">
        <f>IF(LEFT(F71,15)='SOP template'!$B$1,1,"")</f>
        <v/>
      </c>
      <c r="B71" s="190" t="str">
        <f t="shared" si="75"/>
        <v>SOP.004.14</v>
      </c>
      <c r="C71" s="190" t="str">
        <f t="shared" si="66"/>
        <v>SOP.004.</v>
      </c>
      <c r="D71" s="190" t="str">
        <f t="shared" si="67"/>
        <v>SOP.004.</v>
      </c>
      <c r="E71" s="190">
        <f t="shared" si="78"/>
        <v>14</v>
      </c>
      <c r="F71" s="190" t="str">
        <f t="shared" si="76"/>
        <v>ALP.BSP.SOP.004.14</v>
      </c>
      <c r="G71" s="190" t="str">
        <f>IF(ISBLANK(N71),"",CONCATENATE(LEFT(F71,15),".",INDEX(Ref!A:A,MATCH(N71,Ref!$K$1:$K$333,0))))</f>
        <v/>
      </c>
      <c r="H71" s="155"/>
      <c r="I71" s="130"/>
      <c r="J71" s="180"/>
      <c r="K71" s="155"/>
      <c r="L71" s="238"/>
      <c r="M71" s="238"/>
      <c r="N71" s="183"/>
      <c r="O71" s="182"/>
      <c r="P71" s="182"/>
      <c r="Q71" s="184"/>
      <c r="R71" s="184"/>
      <c r="S71" s="185" t="str">
        <f>IFERROR(CLEAN(INDEX('Risk Matrix'!$H$7:$L$11,MATCH($Q71,'Risk Matrix'!$F$7:$F$11,0),MATCH($R71,'Risk Matrix'!$H$6:$L$6,0))),"")</f>
        <v/>
      </c>
      <c r="T71" s="85" t="str">
        <f>IF(LEFT($B71,7)=RIGHT('SOP template'!$B$1,7),_xlfn.NUMBERVALUE(RIGHT($S71,2)),"")</f>
        <v/>
      </c>
      <c r="U71" s="182"/>
      <c r="V71" s="182"/>
      <c r="W71" s="182"/>
      <c r="X71" s="182"/>
      <c r="Y71" s="182"/>
      <c r="Z71" s="182"/>
      <c r="AA71" s="186" t="str">
        <f>IFERROR(VLOOKUP(IFERROR(LEFT(S71,4),""),Ref!$AF$2:$AG$5,2,0),"")</f>
        <v/>
      </c>
      <c r="AB71" s="186"/>
      <c r="AC71" s="218"/>
      <c r="AD71" s="187" t="str">
        <f>IFERROR(VLOOKUP(AC71,'Training Matrix'!B$4:C$24,2,0),"")</f>
        <v/>
      </c>
      <c r="AE71" s="218"/>
      <c r="AF71" s="188" t="str">
        <f t="shared" si="12"/>
        <v/>
      </c>
      <c r="AG71" s="189" t="str">
        <f t="shared" ca="1" si="9"/>
        <v/>
      </c>
      <c r="AH71" s="50" t="str">
        <f t="shared" ref="AH71" si="81">IF(OR(AC71="",AE71=""),"",CONCATENATE(AC71,"_",K58,"_",L58))</f>
        <v/>
      </c>
    </row>
    <row r="72" spans="1:34" x14ac:dyDescent="0.25">
      <c r="A72" s="5" t="str">
        <f>IF(LEFT(F72,15)='SOP template'!$B$1,1,"")</f>
        <v/>
      </c>
      <c r="B72" s="190" t="str">
        <f t="shared" si="75"/>
        <v>SOP.004.15</v>
      </c>
      <c r="C72" s="190" t="str">
        <f t="shared" si="66"/>
        <v>SOP.004.</v>
      </c>
      <c r="D72" s="190" t="str">
        <f t="shared" si="67"/>
        <v>SOP.004.</v>
      </c>
      <c r="E72" s="190">
        <f t="shared" si="78"/>
        <v>15</v>
      </c>
      <c r="F72" s="190" t="str">
        <f t="shared" si="76"/>
        <v>ALP.BSP.SOP.004.15</v>
      </c>
      <c r="G72" s="190" t="str">
        <f>IF(ISBLANK(N72),"",CONCATENATE(LEFT(F72,15),".",INDEX(Ref!A:A,MATCH(N72,Ref!$K$1:$K$333,0))))</f>
        <v/>
      </c>
      <c r="H72" s="155"/>
      <c r="I72" s="130"/>
      <c r="J72" s="180"/>
      <c r="K72" s="155"/>
      <c r="L72" s="238"/>
      <c r="M72" s="238"/>
      <c r="N72" s="183"/>
      <c r="O72" s="182"/>
      <c r="P72" s="182"/>
      <c r="Q72" s="184"/>
      <c r="R72" s="184"/>
      <c r="S72" s="185" t="str">
        <f>IFERROR(CLEAN(INDEX('Risk Matrix'!$H$7:$L$11,MATCH($Q72,'Risk Matrix'!$F$7:$F$11,0),MATCH($R72,'Risk Matrix'!$H$6:$L$6,0))),"")</f>
        <v/>
      </c>
      <c r="T72" s="85" t="str">
        <f>IF(LEFT($B72,7)=RIGHT('SOP template'!$B$1,7),_xlfn.NUMBERVALUE(RIGHT($S72,2)),"")</f>
        <v/>
      </c>
      <c r="U72" s="182"/>
      <c r="V72" s="182"/>
      <c r="W72" s="182"/>
      <c r="X72" s="182"/>
      <c r="Y72" s="182"/>
      <c r="Z72" s="182"/>
      <c r="AA72" s="186" t="str">
        <f>IFERROR(VLOOKUP(IFERROR(LEFT(S72,4),""),Ref!$AF$2:$AG$5,2,0),"")</f>
        <v/>
      </c>
      <c r="AB72" s="186"/>
      <c r="AC72" s="218"/>
      <c r="AD72" s="187" t="str">
        <f>IFERROR(VLOOKUP(AC72,'Training Matrix'!B$4:C$24,2,0),"")</f>
        <v/>
      </c>
      <c r="AE72" s="218"/>
      <c r="AF72" s="188" t="str">
        <f t="shared" si="12"/>
        <v/>
      </c>
      <c r="AG72" s="189" t="str">
        <f t="shared" ca="1" si="9"/>
        <v/>
      </c>
      <c r="AH72" s="50" t="str">
        <f t="shared" ref="AH72" si="82">IF(OR(AC72="",AE72=""),"",CONCATENATE(AC72,"_",K58,"_",L58))</f>
        <v/>
      </c>
    </row>
    <row r="73" spans="1:34" x14ac:dyDescent="0.25">
      <c r="A73" s="5" t="str">
        <f>IF(LEFT(F73,15)='SOP template'!$B$1,1,"")</f>
        <v/>
      </c>
      <c r="B73" s="190" t="str">
        <f t="shared" si="75"/>
        <v>SOP.004.16</v>
      </c>
      <c r="C73" s="190" t="str">
        <f t="shared" si="66"/>
        <v>SOP.004.</v>
      </c>
      <c r="D73" s="190" t="str">
        <f t="shared" si="67"/>
        <v>SOP.004.</v>
      </c>
      <c r="E73" s="190">
        <f t="shared" si="78"/>
        <v>16</v>
      </c>
      <c r="F73" s="190" t="str">
        <f t="shared" si="76"/>
        <v>ALP.BSP.SOP.004.16</v>
      </c>
      <c r="G73" s="190" t="str">
        <f>IF(ISBLANK(N73),"",CONCATENATE(LEFT(F73,15),".",INDEX(Ref!A:A,MATCH(N73,Ref!$K$1:$K$333,0))))</f>
        <v/>
      </c>
      <c r="H73" s="155"/>
      <c r="I73" s="130"/>
      <c r="J73" s="180"/>
      <c r="K73" s="155"/>
      <c r="L73" s="238"/>
      <c r="M73" s="238"/>
      <c r="N73" s="183"/>
      <c r="O73" s="182"/>
      <c r="P73" s="182"/>
      <c r="Q73" s="184"/>
      <c r="R73" s="184"/>
      <c r="S73" s="185" t="str">
        <f>IFERROR(CLEAN(INDEX('Risk Matrix'!$H$7:$L$11,MATCH($Q73,'Risk Matrix'!$F$7:$F$11,0),MATCH($R73,'Risk Matrix'!$H$6:$L$6,0))),"")</f>
        <v/>
      </c>
      <c r="T73" s="85" t="str">
        <f>IF(LEFT($B73,7)=RIGHT('SOP template'!$B$1,7),_xlfn.NUMBERVALUE(RIGHT($S73,2)),"")</f>
        <v/>
      </c>
      <c r="U73" s="182"/>
      <c r="V73" s="182"/>
      <c r="W73" s="182"/>
      <c r="X73" s="182"/>
      <c r="Y73" s="182"/>
      <c r="Z73" s="182"/>
      <c r="AA73" s="186" t="str">
        <f>IFERROR(VLOOKUP(IFERROR(LEFT(S73,4),""),Ref!$AF$2:$AG$5,2,0),"")</f>
        <v/>
      </c>
      <c r="AB73" s="186"/>
      <c r="AC73" s="218"/>
      <c r="AD73" s="187" t="str">
        <f>IFERROR(VLOOKUP(AC73,'Training Matrix'!B$4:C$24,2,0),"")</f>
        <v/>
      </c>
      <c r="AE73" s="218"/>
      <c r="AF73" s="188" t="str">
        <f t="shared" si="12"/>
        <v/>
      </c>
      <c r="AG73" s="189" t="str">
        <f t="shared" ca="1" si="9"/>
        <v/>
      </c>
      <c r="AH73" s="50" t="str">
        <f t="shared" ref="AH73" si="83">IF(OR(AC73="",AE73=""),"",CONCATENATE(AC73,"_",K58,"_",L58))</f>
        <v/>
      </c>
    </row>
    <row r="74" spans="1:34" x14ac:dyDescent="0.25">
      <c r="A74" s="5" t="str">
        <f>IF(LEFT(F74,15)='SOP template'!$B$1,1,"")</f>
        <v/>
      </c>
      <c r="B74" s="190" t="str">
        <f t="shared" si="75"/>
        <v>SOP.004.17</v>
      </c>
      <c r="C74" s="190" t="str">
        <f t="shared" si="66"/>
        <v>SOP.004.</v>
      </c>
      <c r="D74" s="190" t="str">
        <f t="shared" si="67"/>
        <v>SOP.004.</v>
      </c>
      <c r="E74" s="190">
        <f t="shared" si="78"/>
        <v>17</v>
      </c>
      <c r="F74" s="190" t="str">
        <f t="shared" si="76"/>
        <v>ALP.BSP.SOP.004.17</v>
      </c>
      <c r="G74" s="190" t="str">
        <f>IF(ISBLANK(N74),"",CONCATENATE(LEFT(F74,15),".",INDEX(Ref!A:A,MATCH(N74,Ref!$K$1:$K$333,0))))</f>
        <v/>
      </c>
      <c r="H74" s="155"/>
      <c r="I74" s="130"/>
      <c r="J74" s="180"/>
      <c r="K74" s="155"/>
      <c r="L74" s="238"/>
      <c r="M74" s="238"/>
      <c r="N74" s="183"/>
      <c r="O74" s="182"/>
      <c r="P74" s="182"/>
      <c r="Q74" s="184"/>
      <c r="R74" s="184"/>
      <c r="S74" s="185" t="str">
        <f>IFERROR(CLEAN(INDEX('Risk Matrix'!$H$7:$L$11,MATCH($Q74,'Risk Matrix'!$F$7:$F$11,0),MATCH($R74,'Risk Matrix'!$H$6:$L$6,0))),"")</f>
        <v/>
      </c>
      <c r="T74" s="85" t="str">
        <f>IF(LEFT($B74,7)=RIGHT('SOP template'!$B$1,7),_xlfn.NUMBERVALUE(RIGHT($S74,2)),"")</f>
        <v/>
      </c>
      <c r="U74" s="182"/>
      <c r="V74" s="182"/>
      <c r="W74" s="182"/>
      <c r="X74" s="182"/>
      <c r="Y74" s="182"/>
      <c r="Z74" s="182"/>
      <c r="AA74" s="186" t="str">
        <f>IFERROR(VLOOKUP(IFERROR(LEFT(S74,4),""),Ref!$AF$2:$AG$5,2,0),"")</f>
        <v/>
      </c>
      <c r="AB74" s="186"/>
      <c r="AC74" s="218"/>
      <c r="AD74" s="187" t="str">
        <f>IFERROR(VLOOKUP(AC74,'Training Matrix'!B$4:C$24,2,0),"")</f>
        <v/>
      </c>
      <c r="AE74" s="218"/>
      <c r="AF74" s="188" t="str">
        <f t="shared" ref="AF74:AF137" si="84">IF(AE74="","",EDATE(AE74,AB$4))</f>
        <v/>
      </c>
      <c r="AG74" s="189" t="str">
        <f t="shared" ref="AG74:AG137" ca="1" si="85">IF(AE74="","",IF(TODAY()&gt;AF74,"Overdue","Current"))</f>
        <v/>
      </c>
      <c r="AH74" s="50" t="str">
        <f t="shared" ref="AH74" si="86">IF(OR(AC74="",AE74=""),"",CONCATENATE(AC74,"_",K58,"_",L58))</f>
        <v/>
      </c>
    </row>
    <row r="75" spans="1:34" x14ac:dyDescent="0.25">
      <c r="A75" s="5" t="str">
        <f>IF(LEFT(F75,15)='SOP template'!$B$1,1,"")</f>
        <v/>
      </c>
      <c r="B75" s="190" t="str">
        <f t="shared" si="75"/>
        <v>SOP.004.18</v>
      </c>
      <c r="C75" s="190" t="str">
        <f t="shared" si="66"/>
        <v>SOP.004.</v>
      </c>
      <c r="D75" s="190" t="str">
        <f t="shared" si="67"/>
        <v>SOP.004.</v>
      </c>
      <c r="E75" s="190">
        <f t="shared" si="78"/>
        <v>18</v>
      </c>
      <c r="F75" s="190" t="str">
        <f t="shared" si="76"/>
        <v>ALP.BSP.SOP.004.18</v>
      </c>
      <c r="G75" s="190" t="str">
        <f>IF(ISBLANK(N75),"",CONCATENATE(LEFT(F75,15),".",INDEX(Ref!A:A,MATCH(N75,Ref!$K$1:$K$333,0))))</f>
        <v/>
      </c>
      <c r="H75" s="155"/>
      <c r="I75" s="130"/>
      <c r="J75" s="180"/>
      <c r="K75" s="155"/>
      <c r="L75" s="238"/>
      <c r="M75" s="238"/>
      <c r="N75" s="183"/>
      <c r="O75" s="182"/>
      <c r="P75" s="182"/>
      <c r="Q75" s="184"/>
      <c r="R75" s="184"/>
      <c r="S75" s="185" t="str">
        <f>IFERROR(CLEAN(INDEX('Risk Matrix'!$H$7:$L$11,MATCH($Q75,'Risk Matrix'!$F$7:$F$11,0),MATCH($R75,'Risk Matrix'!$H$6:$L$6,0))),"")</f>
        <v/>
      </c>
      <c r="T75" s="85" t="str">
        <f>IF(LEFT($B75,7)=RIGHT('SOP template'!$B$1,7),_xlfn.NUMBERVALUE(RIGHT($S75,2)),"")</f>
        <v/>
      </c>
      <c r="U75" s="182"/>
      <c r="V75" s="182"/>
      <c r="W75" s="182"/>
      <c r="X75" s="182"/>
      <c r="Y75" s="182"/>
      <c r="Z75" s="182"/>
      <c r="AA75" s="186" t="str">
        <f>IFERROR(VLOOKUP(IFERROR(LEFT(S75,4),""),Ref!$AF$2:$AG$5,2,0),"")</f>
        <v/>
      </c>
      <c r="AB75" s="186"/>
      <c r="AC75" s="218"/>
      <c r="AD75" s="187" t="str">
        <f>IFERROR(VLOOKUP(AC75,'Training Matrix'!B$4:C$24,2,0),"")</f>
        <v/>
      </c>
      <c r="AE75" s="218"/>
      <c r="AF75" s="188" t="str">
        <f t="shared" si="84"/>
        <v/>
      </c>
      <c r="AG75" s="189" t="str">
        <f t="shared" ca="1" si="85"/>
        <v/>
      </c>
      <c r="AH75" s="50" t="str">
        <f t="shared" ref="AH75" si="87">IF(OR(AC75="",AE75=""),"",CONCATENATE(AC75,"_",K58,"_",L58))</f>
        <v/>
      </c>
    </row>
    <row r="76" spans="1:34" ht="105" x14ac:dyDescent="0.25">
      <c r="A76" s="5" t="str">
        <f>IF(LEFT(F76,15)='SOP template'!$B$1,1,"")</f>
        <v/>
      </c>
      <c r="B76" s="179" t="str">
        <f t="shared" ref="B76" si="88">IF(ISBLANK($K76),CONCATENATE($B$2,".",TEXT(J76,"000"),".",$E76),CONCATENATE(RIGHT($K76,7),".1"))</f>
        <v>SOP.005.1</v>
      </c>
      <c r="C76" s="179" t="str">
        <f>IF(ISBLANK($K76),CONCATENATE(LEFT($B63,8),IF($E76=1,1.1,IF($E76=2,1.4,IF($E76=3,2,IF($E76=4,2.4,IF($E76=5,3,IF($E76=6,3.4,IF($E76=7,4,IF($E76=8,4.4,IF($E76=9,5,IF($E76=10,5.4,IF($E76=11,6,IF($E76=12,6.4,""))))))))))))),CONCATENATE(RIGHT($K76,7),".1"))</f>
        <v>SOP.005.1</v>
      </c>
      <c r="D76" s="179" t="str">
        <f>IF(ISBLANK($K76),CONCATENATE(LEFT($B63,8),IF($E76=1,1,IF($E76=2,1.3,IF($E76=3,1.5,IF($E76=4,2,IF($E76=5,2.3,IF($E76=6,2.5,IF($E76=7,3,IF($E76=8,3.3,IF($E76=9,3.5,IF($E76=10,4,IF($E76=11,4.3,IF($E76=12,4.5,""))))))))))))),CONCATENATE(RIGHT($K76,7),".1"))</f>
        <v>SOP.005.1</v>
      </c>
      <c r="E76" s="179">
        <f t="shared" si="78"/>
        <v>1</v>
      </c>
      <c r="F76" s="179" t="str">
        <f t="shared" ref="F76" si="89">K76&amp;"."&amp;TEXT(E76,"00")</f>
        <v>ALP.BSP.SOP.005.01</v>
      </c>
      <c r="G76" s="179" t="str">
        <f>IF(ISBLANK(N76),"",CONCATENATE(LEFT(F76,15),".",INDEX(Ref!A:A,MATCH(N76,Ref!$K$1:$K$333,0))))</f>
        <v>ALP.BSP.SOP.005.1</v>
      </c>
      <c r="H76" s="217" t="s">
        <v>394</v>
      </c>
      <c r="I76" s="217" t="s">
        <v>275</v>
      </c>
      <c r="J76" s="180">
        <v>5</v>
      </c>
      <c r="K76" s="181" t="str">
        <f>IFERROR(CONCATENATE(INDEX(Ref!$Z$2:$Z$8,MATCH(H76,Ref!$AA$2:$AA$8,0)),".",I76,".SOP.",TEXT(J76,"000")),CONCATENATE(H76,".",I76,".SOP.",TEXT(J76,"000")))</f>
        <v>ALP.BSP.SOP.005</v>
      </c>
      <c r="L76" s="367" t="s">
        <v>544</v>
      </c>
      <c r="M76" s="182" t="s">
        <v>545</v>
      </c>
      <c r="N76" s="183" t="s">
        <v>117</v>
      </c>
      <c r="O76" s="182" t="s">
        <v>546</v>
      </c>
      <c r="P76" s="182" t="s">
        <v>547</v>
      </c>
      <c r="Q76" s="184" t="s">
        <v>92</v>
      </c>
      <c r="R76" s="184" t="s">
        <v>90</v>
      </c>
      <c r="S76" s="185" t="str">
        <f>IFERROR(CLEAN(INDEX('Risk Matrix'!$H$7:$L$11,MATCH($Q76,'Risk Matrix'!$F$7:$F$11,0),MATCH($R76,'Risk Matrix'!$H$6:$L$6,0))),"")</f>
        <v>Medium 2</v>
      </c>
      <c r="T76" s="85" t="str">
        <f>IF(LEFT($B76,7)=RIGHT('SOP template'!$B$1,7),_xlfn.NUMBERVALUE(RIGHT($S76,2)),"")</f>
        <v/>
      </c>
      <c r="U76" s="182" t="s">
        <v>552</v>
      </c>
      <c r="V76" s="182" t="s">
        <v>553</v>
      </c>
      <c r="W76" s="182" t="s">
        <v>554</v>
      </c>
      <c r="X76" s="182" t="s">
        <v>555</v>
      </c>
      <c r="Y76" s="182" t="s">
        <v>556</v>
      </c>
      <c r="Z76" s="182" t="s">
        <v>516</v>
      </c>
      <c r="AA76" s="186">
        <f>IFERROR(VLOOKUP(IFERROR(LEFT(S76,4),""),Ref!$AF$2:$AG$5,2,0),"")</f>
        <v>24</v>
      </c>
      <c r="AB76" s="186">
        <f>MIN($AA$76:$AA$93)</f>
        <v>24</v>
      </c>
      <c r="AC76" s="218" t="s">
        <v>289</v>
      </c>
      <c r="AD76" s="187" t="str">
        <f>IFERROR(VLOOKUP(AC76,'Training Matrix'!B$4:C$24,2,0),"")</f>
        <v>Dock Manager</v>
      </c>
      <c r="AE76" s="221">
        <v>45792</v>
      </c>
      <c r="AF76" s="188">
        <f t="shared" si="84"/>
        <v>46522</v>
      </c>
      <c r="AG76" s="189" t="str">
        <f t="shared" ca="1" si="85"/>
        <v>Current</v>
      </c>
      <c r="AH76" s="50" t="str">
        <f t="shared" ref="AH76" si="90">IF(OR(AC76="",AE76=""),"",CONCATENATE(AC76,"_",K76,"_",L76))</f>
        <v>Person 1_ALP.BSP.SOP.005_Triage of Specimens in the BSP freezer</v>
      </c>
    </row>
    <row r="77" spans="1:34" ht="30" x14ac:dyDescent="0.25">
      <c r="A77" s="5" t="str">
        <f>IF(LEFT(F77,15)='SOP template'!$B$1,1,"")</f>
        <v/>
      </c>
      <c r="B77" s="190" t="str">
        <f t="shared" ref="B77" si="91">CONCATENATE(LEFT(B76,8),E77)</f>
        <v>SOP.005.2</v>
      </c>
      <c r="C77" s="190" t="str">
        <f>IF(ISBLANK($K77),CONCATENATE(LEFT($B76,8),IF($E77=1,1.1,IF($E77=2,1.4,IF($E77=3,2,IF($E77=4,2.4,IF($E77=5,3,IF($E77=6,3.4,IF($E77=7,4,IF($E77=8,4.4,IF($E77=9,5,IF($E77=10,5.4,IF($E77=11,6,IF($E77=12,6.4,""))))))))))))),CONCATENATE(RIGHT($K77,7),".1"))</f>
        <v>SOP.005.1.4</v>
      </c>
      <c r="D77" s="190" t="str">
        <f>IF(ISBLANK($K77),CONCATENATE(LEFT($B76,8),IF($E77=1,1,IF($E77=2,1.3,IF($E77=3,1.5,IF($E77=4,2,IF($E77=5,2.3,IF($E77=6,2.5,IF($E77=7,3,IF($E77=8,3.3,IF($E77=9,3.5,IF($E77=10,4,IF($E77=11,4.3,IF($E77=12,4.5,""))))))))))))),CONCATENATE(RIGHT($K77,7),".1"))</f>
        <v>SOP.005.1.3</v>
      </c>
      <c r="E77" s="190">
        <f t="shared" si="78"/>
        <v>2</v>
      </c>
      <c r="F77" s="190" t="str">
        <f t="shared" ref="F77" si="92">IF(K77=0,LEFT(F76,16)&amp;TEXT(E77,"00"),K77&amp;"."&amp;TEXT(E77,"00"))</f>
        <v>ALP.BSP.SOP.005.02</v>
      </c>
      <c r="G77" s="190" t="str">
        <f>IF(ISBLANK(N77),"",CONCATENATE(LEFT(F77,15),".",INDEX(Ref!A:A,MATCH(N77,Ref!$K$1:$K$333,0))))</f>
        <v>ALP.BSP.SOP.005.20</v>
      </c>
      <c r="H77" s="180"/>
      <c r="I77" s="217"/>
      <c r="J77" s="180"/>
      <c r="K77" s="181"/>
      <c r="L77" s="182"/>
      <c r="M77" s="182"/>
      <c r="N77" s="183" t="s">
        <v>133</v>
      </c>
      <c r="O77" s="182" t="s">
        <v>498</v>
      </c>
      <c r="P77" s="182" t="s">
        <v>499</v>
      </c>
      <c r="Q77" s="184" t="s">
        <v>92</v>
      </c>
      <c r="R77" s="184" t="s">
        <v>90</v>
      </c>
      <c r="S77" s="185" t="str">
        <f>IFERROR(CLEAN(INDEX('Risk Matrix'!$H$7:$L$11,MATCH($Q77,'Risk Matrix'!$F$7:$F$11,0),MATCH($R77,'Risk Matrix'!$H$6:$L$6,0))),"")</f>
        <v>Medium 2</v>
      </c>
      <c r="T77" s="85" t="str">
        <f>IF(LEFT($B77,7)=RIGHT('SOP template'!$B$1,7),_xlfn.NUMBERVALUE(RIGHT($S77,2)),"")</f>
        <v/>
      </c>
      <c r="U77" s="182" t="s">
        <v>557</v>
      </c>
      <c r="V77" s="182"/>
      <c r="W77" s="182" t="s">
        <v>558</v>
      </c>
      <c r="X77" s="182" t="s">
        <v>559</v>
      </c>
      <c r="Y77" s="182" t="s">
        <v>560</v>
      </c>
      <c r="Z77" s="182" t="s">
        <v>561</v>
      </c>
      <c r="AA77" s="186">
        <f>IFERROR(VLOOKUP(IFERROR(LEFT(S77,4),""),Ref!$AF$2:$AG$5,2,0),"")</f>
        <v>24</v>
      </c>
      <c r="AB77" s="186"/>
      <c r="AC77" s="218" t="s">
        <v>290</v>
      </c>
      <c r="AD77" s="187" t="str">
        <f>IFERROR(VLOOKUP(AC77,'Training Matrix'!B$4:C$24,2,0),"")</f>
        <v>WHS Team member</v>
      </c>
      <c r="AE77" s="221">
        <v>45792</v>
      </c>
      <c r="AF77" s="188">
        <f t="shared" si="84"/>
        <v>46522</v>
      </c>
      <c r="AG77" s="189" t="str">
        <f t="shared" ca="1" si="85"/>
        <v>Current</v>
      </c>
      <c r="AH77" s="50" t="str">
        <f t="shared" ref="AH77" si="93">IF(OR(AC77="",AE77=""),"",CONCATENATE(AC77,"_",K76,"_",L76))</f>
        <v>Person 2_ALP.BSP.SOP.005_Triage of Specimens in the BSP freezer</v>
      </c>
    </row>
    <row r="78" spans="1:34" ht="30" x14ac:dyDescent="0.25">
      <c r="A78" s="5" t="str">
        <f>IF(LEFT(F78,15)='SOP template'!$B$1,1,"")</f>
        <v/>
      </c>
      <c r="B78" s="190" t="str">
        <f t="shared" si="16"/>
        <v>SOP.005.3</v>
      </c>
      <c r="C78" s="190" t="str">
        <f t="shared" ref="C78:C93" si="94">IF(ISBLANK($K78),CONCATENATE(LEFT($B77,8),IF($E78=1,1.1,IF($E78=2,1.4,IF($E78=3,2,IF($E78=4,2.4,IF($E78=5,3,IF($E78=6,3.4,IF($E78=7,4,IF($E78=8,4.4,IF($E78=9,5,IF($E78=10,5.4,IF($E78=11,6,IF($E78=12,6.4,""))))))))))))),CONCATENATE(RIGHT($K78,7),".1"))</f>
        <v>SOP.005.2</v>
      </c>
      <c r="D78" s="190" t="str">
        <f t="shared" ref="D78:D93" si="95">IF(ISBLANK($K78),CONCATENATE(LEFT($B77,8),IF($E78=1,1,IF($E78=2,1.3,IF($E78=3,1.5,IF($E78=4,2,IF($E78=5,2.3,IF($E78=6,2.5,IF($E78=7,3,IF($E78=8,3.3,IF($E78=9,3.5,IF($E78=10,4,IF($E78=11,4.3,IF($E78=12,4.5,""))))))))))))),CONCATENATE(RIGHT($K78,7),".1"))</f>
        <v>SOP.005.1.5</v>
      </c>
      <c r="E78" s="190">
        <f t="shared" si="78"/>
        <v>3</v>
      </c>
      <c r="F78" s="190" t="str">
        <f t="shared" si="18"/>
        <v>ALP.BSP.SOP.005.03</v>
      </c>
      <c r="G78" s="190" t="str">
        <f>IF(ISBLANK(N78),"",CONCATENATE(LEFT(F78,15),".",INDEX(Ref!A:A,MATCH(N78,Ref!$K$1:$K$333,0))))</f>
        <v>ALP.BSP.SOP.005.2</v>
      </c>
      <c r="H78" s="180"/>
      <c r="I78" s="217"/>
      <c r="J78" s="180"/>
      <c r="K78" s="181"/>
      <c r="L78" s="182"/>
      <c r="M78" s="182"/>
      <c r="N78" s="183" t="s">
        <v>94</v>
      </c>
      <c r="O78" s="182" t="s">
        <v>548</v>
      </c>
      <c r="P78" s="182" t="s">
        <v>549</v>
      </c>
      <c r="Q78" s="184" t="s">
        <v>89</v>
      </c>
      <c r="R78" s="184" t="s">
        <v>91</v>
      </c>
      <c r="S78" s="185" t="str">
        <f>IFERROR(CLEAN(INDEX('Risk Matrix'!$H$7:$L$11,MATCH($Q78,'Risk Matrix'!$F$7:$F$11,0),MATCH($R78,'Risk Matrix'!$H$6:$L$6,0))),"")</f>
        <v>Low 1</v>
      </c>
      <c r="T78" s="85" t="str">
        <f>IF(LEFT($B78,7)=RIGHT('SOP template'!$B$1,7),_xlfn.NUMBERVALUE(RIGHT($S78,2)),"")</f>
        <v/>
      </c>
      <c r="U78" s="182" t="s">
        <v>562</v>
      </c>
      <c r="V78" s="182"/>
      <c r="W78" s="182" t="s">
        <v>563</v>
      </c>
      <c r="X78" s="182" t="s">
        <v>564</v>
      </c>
      <c r="Y78" s="182" t="s">
        <v>565</v>
      </c>
      <c r="Z78" s="182" t="s">
        <v>528</v>
      </c>
      <c r="AA78" s="186">
        <f>IFERROR(VLOOKUP(IFERROR(LEFT(S78,4),""),Ref!$AF$2:$AG$5,2,0),"")</f>
        <v>36</v>
      </c>
      <c r="AB78" s="186"/>
      <c r="AC78" s="218" t="s">
        <v>167</v>
      </c>
      <c r="AD78" s="187" t="str">
        <f>IFERROR(VLOOKUP(AC78,'Training Matrix'!B$4:C$24,2,0),"")</f>
        <v>Bioscience Manager</v>
      </c>
      <c r="AE78" s="221">
        <v>45792</v>
      </c>
      <c r="AF78" s="188">
        <f t="shared" si="84"/>
        <v>46522</v>
      </c>
      <c r="AG78" s="189" t="str">
        <f t="shared" ca="1" si="85"/>
        <v>Current</v>
      </c>
      <c r="AH78" s="50" t="str">
        <f t="shared" ref="AH78" si="96">IF(OR(AC78="",AE78=""),"",CONCATENATE(AC78,"_",K76,"_",L76))</f>
        <v>Person 3_ALP.BSP.SOP.005_Triage of Specimens in the BSP freezer</v>
      </c>
    </row>
    <row r="79" spans="1:34" ht="45" x14ac:dyDescent="0.25">
      <c r="A79" s="5" t="str">
        <f>IF(LEFT(F79,15)='SOP template'!$B$1,1,"")</f>
        <v/>
      </c>
      <c r="B79" s="190" t="str">
        <f t="shared" si="16"/>
        <v>SOP.005.4</v>
      </c>
      <c r="C79" s="190" t="str">
        <f t="shared" si="94"/>
        <v>SOP.005.2.4</v>
      </c>
      <c r="D79" s="190" t="str">
        <f t="shared" si="95"/>
        <v>SOP.005.2</v>
      </c>
      <c r="E79" s="190">
        <f t="shared" si="78"/>
        <v>4</v>
      </c>
      <c r="F79" s="190" t="str">
        <f t="shared" si="18"/>
        <v>ALP.BSP.SOP.005.04</v>
      </c>
      <c r="G79" s="190" t="str">
        <f>IF(ISBLANK(N79),"",CONCATENATE(LEFT(F79,15),".",INDEX(Ref!A:A,MATCH(N79,Ref!$K$1:$K$333,0))))</f>
        <v>ALP.BSP.SOP.005.7</v>
      </c>
      <c r="H79" s="180"/>
      <c r="I79" s="217"/>
      <c r="J79" s="180"/>
      <c r="K79" s="181"/>
      <c r="L79" s="182"/>
      <c r="M79" s="182"/>
      <c r="N79" s="183" t="s">
        <v>88</v>
      </c>
      <c r="O79" s="182" t="s">
        <v>550</v>
      </c>
      <c r="P79" s="182" t="s">
        <v>551</v>
      </c>
      <c r="Q79" s="184" t="s">
        <v>89</v>
      </c>
      <c r="R79" s="184" t="s">
        <v>90</v>
      </c>
      <c r="S79" s="185" t="str">
        <f>IFERROR(CLEAN(INDEX('Risk Matrix'!$H$7:$L$11,MATCH($Q79,'Risk Matrix'!$F$7:$F$11,0),MATCH($R79,'Risk Matrix'!$H$6:$L$6,0))),"")</f>
        <v>Medium 2</v>
      </c>
      <c r="T79" s="85" t="str">
        <f>IF(LEFT($B79,7)=RIGHT('SOP template'!$B$1,7),_xlfn.NUMBERVALUE(RIGHT($S79,2)),"")</f>
        <v/>
      </c>
      <c r="U79" s="182" t="s">
        <v>566</v>
      </c>
      <c r="V79" s="182"/>
      <c r="W79" s="182" t="s">
        <v>567</v>
      </c>
      <c r="X79" s="182" t="s">
        <v>568</v>
      </c>
      <c r="Y79" s="182"/>
      <c r="Z79" s="182"/>
      <c r="AA79" s="186">
        <f>IFERROR(VLOOKUP(IFERROR(LEFT(S79,4),""),Ref!$AF$2:$AG$5,2,0),"")</f>
        <v>24</v>
      </c>
      <c r="AB79" s="186"/>
      <c r="AC79" s="218" t="s">
        <v>168</v>
      </c>
      <c r="AD79" s="187" t="str">
        <f>IFERROR(VLOOKUP(AC79,'Training Matrix'!B$4:C$24,2,0),"")</f>
        <v>Collection Manager</v>
      </c>
      <c r="AE79" s="221">
        <v>45792</v>
      </c>
      <c r="AF79" s="188">
        <f t="shared" si="84"/>
        <v>46522</v>
      </c>
      <c r="AG79" s="189" t="str">
        <f t="shared" ca="1" si="85"/>
        <v>Current</v>
      </c>
      <c r="AH79" s="50" t="str">
        <f t="shared" ref="AH79" si="97">IF(OR(AC79="",AE79=""),"",CONCATENATE(AC79,"_",K76,"_",L76))</f>
        <v>Person 4_ALP.BSP.SOP.005_Triage of Specimens in the BSP freezer</v>
      </c>
    </row>
    <row r="80" spans="1:34" ht="30" x14ac:dyDescent="0.25">
      <c r="A80" s="5" t="str">
        <f>IF(LEFT(F80,15)='SOP template'!$B$1,1,"")</f>
        <v/>
      </c>
      <c r="B80" s="190" t="str">
        <f t="shared" si="16"/>
        <v>SOP.005.5</v>
      </c>
      <c r="C80" s="190" t="str">
        <f t="shared" si="94"/>
        <v>SOP.005.3</v>
      </c>
      <c r="D80" s="190" t="str">
        <f>IF(ISBLANK($K80),CONCATENATE(LEFT($B79,8),IF($E80=1,1,IF($E80=2,1.3,IF($E80=3,1.5,IF($E80=4,2,IF($E80=5,2.3,IF($E80=6,2.5,IF($E80=7,3,IF($E80=8,3.3,IF($E80=9,3.5,IF($E80=10,4,IF($E80=11,4.3,IF($E80=12,4.5,""))))))))))))),CONCATENATE(RIGHT($K80,7),".1"))</f>
        <v>SOP.005.2.3</v>
      </c>
      <c r="E80" s="190">
        <f t="shared" si="78"/>
        <v>5</v>
      </c>
      <c r="F80" s="190" t="str">
        <f t="shared" si="18"/>
        <v>ALP.BSP.SOP.005.05</v>
      </c>
      <c r="G80" s="190" t="str">
        <f>IF(ISBLANK(N80),"",CONCATENATE(LEFT(F80,15),".",INDEX(Ref!A:A,MATCH(N80,Ref!$K$1:$K$333,0))))</f>
        <v>ALP.BSP.SOP.005.12</v>
      </c>
      <c r="H80" s="180"/>
      <c r="I80" s="217"/>
      <c r="J80" s="180"/>
      <c r="K80" s="181"/>
      <c r="L80" s="182"/>
      <c r="M80" s="182"/>
      <c r="N80" s="183" t="s">
        <v>125</v>
      </c>
      <c r="O80" s="182" t="s">
        <v>417</v>
      </c>
      <c r="P80" s="182" t="s">
        <v>418</v>
      </c>
      <c r="Q80" s="184" t="s">
        <v>89</v>
      </c>
      <c r="R80" s="184" t="s">
        <v>91</v>
      </c>
      <c r="S80" s="185" t="str">
        <f>IFERROR(CLEAN(INDEX('Risk Matrix'!$H$7:$L$11,MATCH($Q80,'Risk Matrix'!$F$7:$F$11,0),MATCH($R80,'Risk Matrix'!$H$6:$L$6,0))),"")</f>
        <v>Low 1</v>
      </c>
      <c r="T80" s="85" t="str">
        <f>IF(LEFT($B80,7)=RIGHT('SOP template'!$B$1,7),_xlfn.NUMBERVALUE(RIGHT($S80,2)),"")</f>
        <v/>
      </c>
      <c r="U80" s="182" t="s">
        <v>437</v>
      </c>
      <c r="V80" s="182"/>
      <c r="W80" s="182"/>
      <c r="X80" s="182" t="s">
        <v>569</v>
      </c>
      <c r="Y80" s="182"/>
      <c r="Z80" s="182"/>
      <c r="AA80" s="186">
        <f>IFERROR(VLOOKUP(IFERROR(LEFT(S80,4),""),Ref!$AF$2:$AG$5,2,0),"")</f>
        <v>36</v>
      </c>
      <c r="AB80" s="186"/>
      <c r="AC80" s="218" t="s">
        <v>169</v>
      </c>
      <c r="AD80" s="187" t="str">
        <f>IFERROR(VLOOKUP(AC80,'Training Matrix'!B$4:C$24,2,0),"")</f>
        <v>Technician</v>
      </c>
      <c r="AE80" s="221">
        <v>45792</v>
      </c>
      <c r="AF80" s="188">
        <f t="shared" si="84"/>
        <v>46522</v>
      </c>
      <c r="AG80" s="189" t="str">
        <f t="shared" ca="1" si="85"/>
        <v>Current</v>
      </c>
      <c r="AH80" s="50" t="str">
        <f t="shared" ref="AH80" si="98">IF(OR(AC80="",AE80=""),"",CONCATENATE(AC80,"_",K76,"_",L76))</f>
        <v>Person 5_ALP.BSP.SOP.005_Triage of Specimens in the BSP freezer</v>
      </c>
    </row>
    <row r="81" spans="1:34" ht="30" x14ac:dyDescent="0.25">
      <c r="A81" s="5" t="str">
        <f>IF(LEFT(F81,15)='SOP template'!$B$1,1,"")</f>
        <v/>
      </c>
      <c r="B81" s="190" t="str">
        <f t="shared" si="16"/>
        <v>SOP.005.6</v>
      </c>
      <c r="C81" s="190" t="str">
        <f t="shared" si="94"/>
        <v>SOP.005.3.4</v>
      </c>
      <c r="D81" s="190" t="str">
        <f t="shared" si="95"/>
        <v>SOP.005.2.5</v>
      </c>
      <c r="E81" s="190">
        <f t="shared" si="78"/>
        <v>6</v>
      </c>
      <c r="F81" s="190" t="str">
        <f t="shared" si="18"/>
        <v>ALP.BSP.SOP.005.06</v>
      </c>
      <c r="G81" s="190" t="str">
        <f>IF(ISBLANK(N81),"",CONCATENATE(LEFT(F81,15),".",INDEX(Ref!A:A,MATCH(N81,Ref!$K$1:$K$333,0))))</f>
        <v>ALP.BSP.SOP.005.21</v>
      </c>
      <c r="H81" s="180"/>
      <c r="I81" s="217"/>
      <c r="J81" s="180"/>
      <c r="K81" s="181"/>
      <c r="L81" s="182"/>
      <c r="M81" s="182"/>
      <c r="N81" s="183" t="s">
        <v>134</v>
      </c>
      <c r="O81" s="182"/>
      <c r="P81" s="182"/>
      <c r="Q81" s="184"/>
      <c r="R81" s="184"/>
      <c r="S81" s="185" t="str">
        <f>IFERROR(CLEAN(INDEX('Risk Matrix'!$H$7:$L$11,MATCH($Q81,'Risk Matrix'!$F$7:$F$11,0),MATCH($R81,'Risk Matrix'!$H$6:$L$6,0))),"")</f>
        <v/>
      </c>
      <c r="T81" s="85" t="str">
        <f>IF(LEFT($B81,7)=RIGHT('SOP template'!$B$1,7),_xlfn.NUMBERVALUE(RIGHT($S81,2)),"")</f>
        <v/>
      </c>
      <c r="U81" s="182"/>
      <c r="V81" s="182"/>
      <c r="W81" s="182"/>
      <c r="X81" s="182" t="s">
        <v>570</v>
      </c>
      <c r="Y81" s="182"/>
      <c r="Z81" s="182"/>
      <c r="AA81" s="186" t="str">
        <f>IFERROR(VLOOKUP(IFERROR(LEFT(S81,4),""),Ref!$AF$2:$AG$5,2,0),"")</f>
        <v/>
      </c>
      <c r="AB81" s="186"/>
      <c r="AC81" s="218" t="s">
        <v>170</v>
      </c>
      <c r="AD81" s="187" t="str">
        <f>IFERROR(VLOOKUP(AC81,'Training Matrix'!B$4:C$24,2,0),"")</f>
        <v>Scientist</v>
      </c>
      <c r="AE81" s="221">
        <v>45792</v>
      </c>
      <c r="AF81" s="188">
        <f t="shared" si="84"/>
        <v>46522</v>
      </c>
      <c r="AG81" s="189" t="str">
        <f t="shared" ca="1" si="85"/>
        <v>Current</v>
      </c>
      <c r="AH81" s="50" t="str">
        <f t="shared" ref="AH81" si="99">IF(OR(AC81="",AE81=""),"",CONCATENATE(AC81,"_",K76,"_",L76))</f>
        <v>Person 6_ALP.BSP.SOP.005_Triage of Specimens in the BSP freezer</v>
      </c>
    </row>
    <row r="82" spans="1:34" x14ac:dyDescent="0.25">
      <c r="A82" s="5" t="str">
        <f>IF(LEFT(F82,15)='SOP template'!$B$1,1,"")</f>
        <v/>
      </c>
      <c r="B82" s="190" t="str">
        <f t="shared" si="16"/>
        <v>SOP.005.7</v>
      </c>
      <c r="C82" s="190" t="str">
        <f t="shared" si="94"/>
        <v>SOP.005.4</v>
      </c>
      <c r="D82" s="190" t="str">
        <f t="shared" si="95"/>
        <v>SOP.005.3</v>
      </c>
      <c r="E82" s="190">
        <f t="shared" si="78"/>
        <v>7</v>
      </c>
      <c r="F82" s="190" t="str">
        <f t="shared" si="18"/>
        <v>ALP.BSP.SOP.005.07</v>
      </c>
      <c r="G82" s="190" t="str">
        <f>IF(ISBLANK(N82),"",CONCATENATE(LEFT(F82,15),".",INDEX(Ref!A:A,MATCH(N82,Ref!$K$1:$K$333,0))))</f>
        <v>ALP.BSP.SOP.005.22</v>
      </c>
      <c r="H82" s="180"/>
      <c r="I82" s="217"/>
      <c r="J82" s="180"/>
      <c r="K82" s="181"/>
      <c r="L82" s="182"/>
      <c r="M82" s="182"/>
      <c r="N82" s="183" t="s">
        <v>286</v>
      </c>
      <c r="O82" s="182"/>
      <c r="P82" s="182"/>
      <c r="Q82" s="184"/>
      <c r="R82" s="184"/>
      <c r="S82" s="185" t="str">
        <f>IFERROR(CLEAN(INDEX('Risk Matrix'!$H$7:$L$11,MATCH($Q82,'Risk Matrix'!$F$7:$F$11,0),MATCH($R82,'Risk Matrix'!$H$6:$L$6,0))),"")</f>
        <v/>
      </c>
      <c r="T82" s="85" t="str">
        <f>IF(LEFT($B82,7)=RIGHT('SOP template'!$B$1,7),_xlfn.NUMBERVALUE(RIGHT($S82,2)),"")</f>
        <v/>
      </c>
      <c r="U82" s="182"/>
      <c r="V82" s="182"/>
      <c r="W82" s="182"/>
      <c r="X82" s="182"/>
      <c r="Y82" s="182"/>
      <c r="Z82" s="182"/>
      <c r="AA82" s="186" t="str">
        <f>IFERROR(VLOOKUP(IFERROR(LEFT(S82,4),""),Ref!$AF$2:$AG$5,2,0),"")</f>
        <v/>
      </c>
      <c r="AB82" s="186"/>
      <c r="AC82" s="218"/>
      <c r="AD82" s="187" t="str">
        <f>IFERROR(VLOOKUP(AC82,'Training Matrix'!B$4:C$24,2,0),"")</f>
        <v/>
      </c>
      <c r="AE82" s="218"/>
      <c r="AF82" s="188" t="str">
        <f t="shared" si="84"/>
        <v/>
      </c>
      <c r="AG82" s="189" t="str">
        <f t="shared" ca="1" si="85"/>
        <v/>
      </c>
      <c r="AH82" s="50" t="str">
        <f t="shared" ref="AH82" si="100">IF(OR(AC82="",AE82=""),"",CONCATENATE(AC82,"_",K76,"_",L76))</f>
        <v/>
      </c>
    </row>
    <row r="83" spans="1:34" x14ac:dyDescent="0.25">
      <c r="A83" s="5" t="str">
        <f>IF(LEFT(F83,15)='SOP template'!$B$1,1,"")</f>
        <v/>
      </c>
      <c r="B83" s="190" t="str">
        <f t="shared" si="16"/>
        <v>SOP.005.8</v>
      </c>
      <c r="C83" s="190" t="str">
        <f t="shared" si="94"/>
        <v>SOP.005.4.4</v>
      </c>
      <c r="D83" s="190" t="str">
        <f t="shared" si="95"/>
        <v>SOP.005.3.3</v>
      </c>
      <c r="E83" s="190">
        <f t="shared" si="78"/>
        <v>8</v>
      </c>
      <c r="F83" s="190" t="str">
        <f t="shared" si="18"/>
        <v>ALP.BSP.SOP.005.08</v>
      </c>
      <c r="G83" s="190" t="str">
        <f>IF(ISBLANK(N83),"",CONCATENATE(LEFT(F83,15),".",INDEX(Ref!A:A,MATCH(N83,Ref!$K$1:$K$333,0))))</f>
        <v/>
      </c>
      <c r="H83" s="180"/>
      <c r="I83" s="217"/>
      <c r="J83" s="180"/>
      <c r="K83" s="181"/>
      <c r="L83" s="182"/>
      <c r="M83" s="182"/>
      <c r="N83" s="183"/>
      <c r="O83" s="182"/>
      <c r="P83" s="182"/>
      <c r="Q83" s="184"/>
      <c r="R83" s="184"/>
      <c r="S83" s="185" t="str">
        <f>IFERROR(CLEAN(INDEX('Risk Matrix'!$H$7:$L$11,MATCH($Q83,'Risk Matrix'!$F$7:$F$11,0),MATCH($R83,'Risk Matrix'!$H$6:$L$6,0))),"")</f>
        <v/>
      </c>
      <c r="T83" s="85" t="str">
        <f>IF(LEFT($B83,7)=RIGHT('SOP template'!$B$1,7),_xlfn.NUMBERVALUE(RIGHT($S83,2)),"")</f>
        <v/>
      </c>
      <c r="U83" s="182"/>
      <c r="V83" s="182"/>
      <c r="W83" s="182"/>
      <c r="X83" s="182"/>
      <c r="Y83" s="182"/>
      <c r="Z83" s="182"/>
      <c r="AA83" s="186" t="str">
        <f>IFERROR(VLOOKUP(IFERROR(LEFT(S83,4),""),Ref!$AF$2:$AG$5,2,0),"")</f>
        <v/>
      </c>
      <c r="AB83" s="186"/>
      <c r="AC83" s="218"/>
      <c r="AD83" s="187" t="str">
        <f>IFERROR(VLOOKUP(AC83,'Training Matrix'!B$4:C$24,2,0),"")</f>
        <v/>
      </c>
      <c r="AE83" s="218"/>
      <c r="AF83" s="188" t="str">
        <f t="shared" si="84"/>
        <v/>
      </c>
      <c r="AG83" s="189" t="str">
        <f t="shared" ca="1" si="85"/>
        <v/>
      </c>
      <c r="AH83" s="50" t="str">
        <f t="shared" ref="AH83" si="101">IF(OR(AC83="",AE83=""),"",CONCATENATE(AC83,"_",K76,"_",L76))</f>
        <v/>
      </c>
    </row>
    <row r="84" spans="1:34" x14ac:dyDescent="0.25">
      <c r="A84" s="5" t="str">
        <f>IF(LEFT(F84,15)='SOP template'!$B$1,1,"")</f>
        <v/>
      </c>
      <c r="B84" s="190" t="str">
        <f t="shared" si="16"/>
        <v>SOP.005.9</v>
      </c>
      <c r="C84" s="190" t="str">
        <f t="shared" si="94"/>
        <v>SOP.005.5</v>
      </c>
      <c r="D84" s="190" t="str">
        <f t="shared" si="95"/>
        <v>SOP.005.3.5</v>
      </c>
      <c r="E84" s="190">
        <f t="shared" si="78"/>
        <v>9</v>
      </c>
      <c r="F84" s="190" t="str">
        <f t="shared" si="18"/>
        <v>ALP.BSP.SOP.005.09</v>
      </c>
      <c r="G84" s="190" t="str">
        <f>IF(ISBLANK(N84),"",CONCATENATE(LEFT(F84,15),".",INDEX(Ref!A:A,MATCH(N84,Ref!$K$1:$K$333,0))))</f>
        <v/>
      </c>
      <c r="H84" s="180"/>
      <c r="I84" s="217"/>
      <c r="J84" s="180"/>
      <c r="K84" s="181"/>
      <c r="L84" s="182"/>
      <c r="M84" s="182"/>
      <c r="N84" s="183"/>
      <c r="O84" s="182"/>
      <c r="P84" s="182"/>
      <c r="Q84" s="184"/>
      <c r="R84" s="184"/>
      <c r="S84" s="185" t="str">
        <f>IFERROR(CLEAN(INDEX('Risk Matrix'!$H$7:$L$11,MATCH($Q84,'Risk Matrix'!$F$7:$F$11,0),MATCH($R84,'Risk Matrix'!$H$6:$L$6,0))),"")</f>
        <v/>
      </c>
      <c r="T84" s="85" t="str">
        <f>IF(LEFT($B84,7)=RIGHT('SOP template'!$B$1,7),_xlfn.NUMBERVALUE(RIGHT($S84,2)),"")</f>
        <v/>
      </c>
      <c r="U84" s="182"/>
      <c r="V84" s="182"/>
      <c r="W84" s="182"/>
      <c r="X84" s="182"/>
      <c r="Y84" s="182"/>
      <c r="Z84" s="182"/>
      <c r="AA84" s="186" t="str">
        <f>IFERROR(VLOOKUP(IFERROR(LEFT(S84,4),""),Ref!$AF$2:$AG$5,2,0),"")</f>
        <v/>
      </c>
      <c r="AB84" s="186"/>
      <c r="AC84" s="218"/>
      <c r="AD84" s="187" t="str">
        <f>IFERROR(VLOOKUP(AC84,'Training Matrix'!B$4:C$24,2,0),"")</f>
        <v/>
      </c>
      <c r="AE84" s="218"/>
      <c r="AF84" s="188" t="str">
        <f t="shared" si="84"/>
        <v/>
      </c>
      <c r="AG84" s="189" t="str">
        <f t="shared" ca="1" si="85"/>
        <v/>
      </c>
      <c r="AH84" s="50" t="str">
        <f t="shared" ref="AH84" si="102">IF(OR(AC84="",AE84=""),"",CONCATENATE(AC84,"_",K76,"_",L76))</f>
        <v/>
      </c>
    </row>
    <row r="85" spans="1:34" x14ac:dyDescent="0.25">
      <c r="A85" s="5" t="str">
        <f>IF(LEFT(F85,15)='SOP template'!$B$1,1,"")</f>
        <v/>
      </c>
      <c r="B85" s="190" t="str">
        <f t="shared" si="16"/>
        <v>SOP.005.10</v>
      </c>
      <c r="C85" s="190" t="str">
        <f t="shared" si="94"/>
        <v>SOP.005.5.4</v>
      </c>
      <c r="D85" s="190" t="str">
        <f t="shared" si="95"/>
        <v>SOP.005.4</v>
      </c>
      <c r="E85" s="190">
        <f t="shared" si="78"/>
        <v>10</v>
      </c>
      <c r="F85" s="190" t="str">
        <f t="shared" si="18"/>
        <v>ALP.BSP.SOP.005.10</v>
      </c>
      <c r="G85" s="190" t="str">
        <f>IF(ISBLANK(N85),"",CONCATENATE(LEFT(F85,15),".",INDEX(Ref!A:A,MATCH(N85,Ref!$K$1:$K$333,0))))</f>
        <v/>
      </c>
      <c r="H85" s="180"/>
      <c r="I85" s="217"/>
      <c r="J85" s="180"/>
      <c r="K85" s="181"/>
      <c r="L85" s="182"/>
      <c r="M85" s="182"/>
      <c r="N85" s="183"/>
      <c r="O85" s="182"/>
      <c r="P85" s="182"/>
      <c r="Q85" s="184"/>
      <c r="R85" s="184"/>
      <c r="S85" s="185" t="str">
        <f>IFERROR(CLEAN(INDEX('Risk Matrix'!$H$7:$L$11,MATCH($Q85,'Risk Matrix'!$F$7:$F$11,0),MATCH($R85,'Risk Matrix'!$H$6:$L$6,0))),"")</f>
        <v/>
      </c>
      <c r="T85" s="85" t="str">
        <f>IF(LEFT($B85,7)=RIGHT('SOP template'!$B$1,7),_xlfn.NUMBERVALUE(RIGHT($S85,2)),"")</f>
        <v/>
      </c>
      <c r="U85" s="182"/>
      <c r="V85" s="182"/>
      <c r="W85" s="182"/>
      <c r="X85" s="182"/>
      <c r="Y85" s="182"/>
      <c r="Z85" s="182"/>
      <c r="AA85" s="186" t="str">
        <f>IFERROR(VLOOKUP(IFERROR(LEFT(S85,4),""),Ref!$AF$2:$AG$5,2,0),"")</f>
        <v/>
      </c>
      <c r="AB85" s="186"/>
      <c r="AC85" s="218"/>
      <c r="AD85" s="187" t="str">
        <f>IFERROR(VLOOKUP(AC85,'Training Matrix'!B$4:C$24,2,0),"")</f>
        <v/>
      </c>
      <c r="AE85" s="218"/>
      <c r="AF85" s="188" t="str">
        <f t="shared" si="84"/>
        <v/>
      </c>
      <c r="AG85" s="189" t="str">
        <f t="shared" ca="1" si="85"/>
        <v/>
      </c>
      <c r="AH85" s="50" t="str">
        <f t="shared" ref="AH85" si="103">IF(OR(AC85="",AE85=""),"",CONCATENATE(AC85,"_",K76,"_",L76))</f>
        <v/>
      </c>
    </row>
    <row r="86" spans="1:34" x14ac:dyDescent="0.25">
      <c r="A86" s="5" t="str">
        <f>IF(LEFT(F86,15)='SOP template'!$B$1,1,"")</f>
        <v/>
      </c>
      <c r="B86" s="190" t="str">
        <f t="shared" ref="B86:B93" si="104">CONCATENATE(LEFT(B85,8),E86)</f>
        <v>SOP.005.11</v>
      </c>
      <c r="C86" s="190" t="str">
        <f t="shared" si="94"/>
        <v>SOP.005.6</v>
      </c>
      <c r="D86" s="190" t="str">
        <f t="shared" si="95"/>
        <v>SOP.005.4.3</v>
      </c>
      <c r="E86" s="190">
        <f t="shared" si="78"/>
        <v>11</v>
      </c>
      <c r="F86" s="190" t="str">
        <f t="shared" ref="F86:F93" si="105">IF(K86=0,LEFT(F85,16)&amp;TEXT(E86,"00"),K86&amp;"."&amp;TEXT(E86,"00"))</f>
        <v>ALP.BSP.SOP.005.11</v>
      </c>
      <c r="G86" s="190" t="str">
        <f>IF(ISBLANK(N86),"",CONCATENATE(LEFT(F86,15),".",INDEX(Ref!A:A,MATCH(N86,Ref!$K$1:$K$333,0))))</f>
        <v/>
      </c>
      <c r="H86" s="180"/>
      <c r="I86" s="217"/>
      <c r="J86" s="180"/>
      <c r="K86" s="181"/>
      <c r="L86" s="182"/>
      <c r="M86" s="182"/>
      <c r="N86" s="183"/>
      <c r="O86" s="182"/>
      <c r="P86" s="182"/>
      <c r="Q86" s="184"/>
      <c r="R86" s="184"/>
      <c r="S86" s="185" t="str">
        <f>IFERROR(CLEAN(INDEX('Risk Matrix'!$H$7:$L$11,MATCH($Q86,'Risk Matrix'!$F$7:$F$11,0),MATCH($R86,'Risk Matrix'!$H$6:$L$6,0))),"")</f>
        <v/>
      </c>
      <c r="T86" s="85" t="str">
        <f>IF(LEFT($B86,7)=RIGHT('SOP template'!$B$1,7),_xlfn.NUMBERVALUE(RIGHT($S86,2)),"")</f>
        <v/>
      </c>
      <c r="U86" s="182"/>
      <c r="V86" s="182"/>
      <c r="W86" s="182"/>
      <c r="X86" s="182"/>
      <c r="Y86" s="182"/>
      <c r="Z86" s="182"/>
      <c r="AA86" s="186" t="str">
        <f>IFERROR(VLOOKUP(IFERROR(LEFT(S86,4),""),Ref!$AF$2:$AG$5,2,0),"")</f>
        <v/>
      </c>
      <c r="AB86" s="186"/>
      <c r="AC86" s="218"/>
      <c r="AD86" s="187" t="str">
        <f>IFERROR(VLOOKUP(AC86,'Training Matrix'!B$4:C$24,2,0),"")</f>
        <v/>
      </c>
      <c r="AE86" s="218"/>
      <c r="AF86" s="188" t="str">
        <f t="shared" si="84"/>
        <v/>
      </c>
      <c r="AG86" s="189" t="str">
        <f t="shared" ca="1" si="85"/>
        <v/>
      </c>
      <c r="AH86" s="50" t="str">
        <f t="shared" ref="AH86" si="106">IF(OR(AC86="",AE86=""),"",CONCATENATE(AC86,"_",K76,"_",L76))</f>
        <v/>
      </c>
    </row>
    <row r="87" spans="1:34" x14ac:dyDescent="0.25">
      <c r="A87" s="5" t="str">
        <f>IF(LEFT(F87,15)='SOP template'!$B$1,1,"")</f>
        <v/>
      </c>
      <c r="B87" s="190" t="str">
        <f t="shared" si="104"/>
        <v>SOP.005.12</v>
      </c>
      <c r="C87" s="190" t="str">
        <f t="shared" si="94"/>
        <v>SOP.005.6.4</v>
      </c>
      <c r="D87" s="190" t="str">
        <f t="shared" si="95"/>
        <v>SOP.005.4.5</v>
      </c>
      <c r="E87" s="190">
        <f t="shared" si="78"/>
        <v>12</v>
      </c>
      <c r="F87" s="190" t="str">
        <f t="shared" si="105"/>
        <v>ALP.BSP.SOP.005.12</v>
      </c>
      <c r="G87" s="190" t="str">
        <f>IF(ISBLANK(N87),"",CONCATENATE(LEFT(F87,15),".",INDEX(Ref!A:A,MATCH(N87,Ref!$K$1:$K$333,0))))</f>
        <v/>
      </c>
      <c r="H87" s="180"/>
      <c r="I87" s="217"/>
      <c r="J87" s="180"/>
      <c r="K87" s="181"/>
      <c r="L87" s="182"/>
      <c r="M87" s="182"/>
      <c r="N87" s="183"/>
      <c r="O87" s="182"/>
      <c r="P87" s="182"/>
      <c r="Q87" s="184"/>
      <c r="R87" s="184"/>
      <c r="S87" s="185" t="str">
        <f>IFERROR(CLEAN(INDEX('Risk Matrix'!$H$7:$L$11,MATCH($Q87,'Risk Matrix'!$F$7:$F$11,0),MATCH($R87,'Risk Matrix'!$H$6:$L$6,0))),"")</f>
        <v/>
      </c>
      <c r="T87" s="85" t="str">
        <f>IF(LEFT($B87,7)=RIGHT('SOP template'!$B$1,7),_xlfn.NUMBERVALUE(RIGHT($S87,2)),"")</f>
        <v/>
      </c>
      <c r="U87" s="182"/>
      <c r="V87" s="182"/>
      <c r="W87" s="182"/>
      <c r="X87" s="182"/>
      <c r="Y87" s="182"/>
      <c r="Z87" s="182"/>
      <c r="AA87" s="186" t="str">
        <f>IFERROR(VLOOKUP(IFERROR(LEFT(S87,4),""),Ref!$AF$2:$AG$5,2,0),"")</f>
        <v/>
      </c>
      <c r="AB87" s="186"/>
      <c r="AC87" s="218"/>
      <c r="AD87" s="187" t="str">
        <f>IFERROR(VLOOKUP(AC87,'Training Matrix'!B$4:C$24,2,0),"")</f>
        <v/>
      </c>
      <c r="AE87" s="218"/>
      <c r="AF87" s="188" t="str">
        <f t="shared" si="84"/>
        <v/>
      </c>
      <c r="AG87" s="189" t="str">
        <f t="shared" ca="1" si="85"/>
        <v/>
      </c>
      <c r="AH87" s="50" t="str">
        <f t="shared" ref="AH87" si="107">IF(OR(AC87="",AE87=""),"",CONCATENATE(AC87,"_",K76,"_",L76))</f>
        <v/>
      </c>
    </row>
    <row r="88" spans="1:34" x14ac:dyDescent="0.25">
      <c r="A88" s="5" t="str">
        <f>IF(LEFT(F88,15)='SOP template'!$B$1,1,"")</f>
        <v/>
      </c>
      <c r="B88" s="190" t="str">
        <f t="shared" si="104"/>
        <v>SOP.005.13</v>
      </c>
      <c r="C88" s="190" t="str">
        <f t="shared" si="94"/>
        <v>SOP.005.</v>
      </c>
      <c r="D88" s="190" t="str">
        <f t="shared" si="95"/>
        <v>SOP.005.</v>
      </c>
      <c r="E88" s="190">
        <f t="shared" si="78"/>
        <v>13</v>
      </c>
      <c r="F88" s="190" t="str">
        <f t="shared" si="105"/>
        <v>ALP.BSP.SOP.005.13</v>
      </c>
      <c r="G88" s="190" t="str">
        <f>IF(ISBLANK(N88),"",CONCATENATE(LEFT(F88,15),".",INDEX(Ref!A:A,MATCH(N88,Ref!$K$1:$K$333,0))))</f>
        <v/>
      </c>
      <c r="H88" s="180"/>
      <c r="I88" s="217"/>
      <c r="J88" s="180"/>
      <c r="K88" s="181"/>
      <c r="L88" s="182"/>
      <c r="M88" s="182"/>
      <c r="N88" s="183"/>
      <c r="O88" s="182"/>
      <c r="P88" s="182"/>
      <c r="Q88" s="184"/>
      <c r="R88" s="184"/>
      <c r="S88" s="185" t="str">
        <f>IFERROR(CLEAN(INDEX('Risk Matrix'!$H$7:$L$11,MATCH($Q88,'Risk Matrix'!$F$7:$F$11,0),MATCH($R88,'Risk Matrix'!$H$6:$L$6,0))),"")</f>
        <v/>
      </c>
      <c r="T88" s="85" t="str">
        <f>IF(LEFT($B88,7)=RIGHT('SOP template'!$B$1,7),_xlfn.NUMBERVALUE(RIGHT($S88,2)),"")</f>
        <v/>
      </c>
      <c r="U88" s="182"/>
      <c r="V88" s="182"/>
      <c r="W88" s="182"/>
      <c r="X88" s="182"/>
      <c r="Y88" s="182"/>
      <c r="Z88" s="182"/>
      <c r="AA88" s="186" t="str">
        <f>IFERROR(VLOOKUP(IFERROR(LEFT(S88,4),""),Ref!$AF$2:$AG$5,2,0),"")</f>
        <v/>
      </c>
      <c r="AB88" s="186"/>
      <c r="AC88" s="218"/>
      <c r="AD88" s="187" t="str">
        <f>IFERROR(VLOOKUP(AC88,'Training Matrix'!B$4:C$24,2,0),"")</f>
        <v/>
      </c>
      <c r="AE88" s="218"/>
      <c r="AF88" s="188" t="str">
        <f t="shared" si="84"/>
        <v/>
      </c>
      <c r="AG88" s="189" t="str">
        <f t="shared" ca="1" si="85"/>
        <v/>
      </c>
      <c r="AH88" s="50" t="str">
        <f t="shared" ref="AH88" si="108">IF(OR(AC88="",AE88=""),"",CONCATENATE(AC88,"_",K76,"_",L76))</f>
        <v/>
      </c>
    </row>
    <row r="89" spans="1:34" x14ac:dyDescent="0.25">
      <c r="A89" s="5" t="str">
        <f>IF(LEFT(F89,15)='SOP template'!$B$1,1,"")</f>
        <v/>
      </c>
      <c r="B89" s="190" t="str">
        <f t="shared" si="104"/>
        <v>SOP.005.14</v>
      </c>
      <c r="C89" s="190" t="str">
        <f t="shared" si="94"/>
        <v>SOP.005.</v>
      </c>
      <c r="D89" s="190" t="str">
        <f t="shared" si="95"/>
        <v>SOP.005.</v>
      </c>
      <c r="E89" s="190">
        <f t="shared" si="78"/>
        <v>14</v>
      </c>
      <c r="F89" s="190" t="str">
        <f t="shared" si="105"/>
        <v>ALP.BSP.SOP.005.14</v>
      </c>
      <c r="G89" s="190" t="str">
        <f>IF(ISBLANK(N89),"",CONCATENATE(LEFT(F89,15),".",INDEX(Ref!A:A,MATCH(N89,Ref!$K$1:$K$333,0))))</f>
        <v/>
      </c>
      <c r="H89" s="180"/>
      <c r="I89" s="217"/>
      <c r="J89" s="180"/>
      <c r="K89" s="181"/>
      <c r="L89" s="182"/>
      <c r="M89" s="182"/>
      <c r="N89" s="183"/>
      <c r="O89" s="182"/>
      <c r="P89" s="182"/>
      <c r="Q89" s="184"/>
      <c r="R89" s="184"/>
      <c r="S89" s="185" t="str">
        <f>IFERROR(CLEAN(INDEX('Risk Matrix'!$H$7:$L$11,MATCH($Q89,'Risk Matrix'!$F$7:$F$11,0),MATCH($R89,'Risk Matrix'!$H$6:$L$6,0))),"")</f>
        <v/>
      </c>
      <c r="T89" s="85" t="str">
        <f>IF(LEFT($B89,7)=RIGHT('SOP template'!$B$1,7),_xlfn.NUMBERVALUE(RIGHT($S89,2)),"")</f>
        <v/>
      </c>
      <c r="U89" s="182"/>
      <c r="V89" s="182"/>
      <c r="W89" s="182"/>
      <c r="X89" s="182"/>
      <c r="Y89" s="182"/>
      <c r="Z89" s="182"/>
      <c r="AA89" s="186" t="str">
        <f>IFERROR(VLOOKUP(IFERROR(LEFT(S89,4),""),Ref!$AF$2:$AG$5,2,0),"")</f>
        <v/>
      </c>
      <c r="AB89" s="186"/>
      <c r="AC89" s="218"/>
      <c r="AD89" s="187" t="str">
        <f>IFERROR(VLOOKUP(AC89,'Training Matrix'!B$4:C$24,2,0),"")</f>
        <v/>
      </c>
      <c r="AE89" s="218"/>
      <c r="AF89" s="188" t="str">
        <f t="shared" si="84"/>
        <v/>
      </c>
      <c r="AG89" s="189" t="str">
        <f t="shared" ca="1" si="85"/>
        <v/>
      </c>
      <c r="AH89" s="50" t="str">
        <f t="shared" ref="AH89" si="109">IF(OR(AC89="",AE89=""),"",CONCATENATE(AC89,"_",K76,"_",L76))</f>
        <v/>
      </c>
    </row>
    <row r="90" spans="1:34" x14ac:dyDescent="0.25">
      <c r="A90" s="5" t="str">
        <f>IF(LEFT(F90,15)='SOP template'!$B$1,1,"")</f>
        <v/>
      </c>
      <c r="B90" s="190" t="str">
        <f t="shared" si="104"/>
        <v>SOP.005.15</v>
      </c>
      <c r="C90" s="190" t="str">
        <f t="shared" si="94"/>
        <v>SOP.005.</v>
      </c>
      <c r="D90" s="190" t="str">
        <f t="shared" si="95"/>
        <v>SOP.005.</v>
      </c>
      <c r="E90" s="190">
        <f t="shared" si="78"/>
        <v>15</v>
      </c>
      <c r="F90" s="190" t="str">
        <f t="shared" si="105"/>
        <v>ALP.BSP.SOP.005.15</v>
      </c>
      <c r="G90" s="190" t="str">
        <f>IF(ISBLANK(N90),"",CONCATENATE(LEFT(F90,15),".",INDEX(Ref!A:A,MATCH(N90,Ref!$K$1:$K$333,0))))</f>
        <v/>
      </c>
      <c r="H90" s="180"/>
      <c r="I90" s="217"/>
      <c r="J90" s="180"/>
      <c r="K90" s="181"/>
      <c r="L90" s="182"/>
      <c r="M90" s="182"/>
      <c r="N90" s="183"/>
      <c r="O90" s="182"/>
      <c r="P90" s="182"/>
      <c r="Q90" s="184"/>
      <c r="R90" s="184"/>
      <c r="S90" s="185" t="str">
        <f>IFERROR(CLEAN(INDEX('Risk Matrix'!$H$7:$L$11,MATCH($Q90,'Risk Matrix'!$F$7:$F$11,0),MATCH($R90,'Risk Matrix'!$H$6:$L$6,0))),"")</f>
        <v/>
      </c>
      <c r="T90" s="85" t="str">
        <f>IF(LEFT($B90,7)=RIGHT('SOP template'!$B$1,7),_xlfn.NUMBERVALUE(RIGHT($S90,2)),"")</f>
        <v/>
      </c>
      <c r="U90" s="182"/>
      <c r="V90" s="182"/>
      <c r="W90" s="182"/>
      <c r="X90" s="182"/>
      <c r="Y90" s="182"/>
      <c r="Z90" s="182"/>
      <c r="AA90" s="186" t="str">
        <f>IFERROR(VLOOKUP(IFERROR(LEFT(S90,4),""),Ref!$AF$2:$AG$5,2,0),"")</f>
        <v/>
      </c>
      <c r="AB90" s="186"/>
      <c r="AC90" s="218"/>
      <c r="AD90" s="187" t="str">
        <f>IFERROR(VLOOKUP(AC90,'Training Matrix'!B$4:C$24,2,0),"")</f>
        <v/>
      </c>
      <c r="AE90" s="218"/>
      <c r="AF90" s="188" t="str">
        <f t="shared" si="84"/>
        <v/>
      </c>
      <c r="AG90" s="189" t="str">
        <f t="shared" ca="1" si="85"/>
        <v/>
      </c>
      <c r="AH90" s="50" t="str">
        <f t="shared" ref="AH90" si="110">IF(OR(AC90="",AE90=""),"",CONCATENATE(AC90,"_",K76,"_",L76))</f>
        <v/>
      </c>
    </row>
    <row r="91" spans="1:34" x14ac:dyDescent="0.25">
      <c r="A91" s="5" t="str">
        <f>IF(LEFT(F91,15)='SOP template'!$B$1,1,"")</f>
        <v/>
      </c>
      <c r="B91" s="190" t="str">
        <f t="shared" si="104"/>
        <v>SOP.005.16</v>
      </c>
      <c r="C91" s="190" t="str">
        <f>IF(ISBLANK($K91),CONCATENATE(LEFT($B90,8),IF($E91=1,1.1,IF($E91=2,1.4,IF($E91=3,2,IF($E91=4,2.4,IF($E91=5,3,IF($E91=6,3.4,IF($E91=7,4,IF($E91=8,4.4,IF($E91=9,5,IF($E91=10,5.4,IF($E91=11,6,IF($E91=12,6.4,""))))))))))))),CONCATENATE(RIGHT($K91,7),".1"))</f>
        <v>SOP.005.</v>
      </c>
      <c r="D91" s="190" t="str">
        <f t="shared" si="95"/>
        <v>SOP.005.</v>
      </c>
      <c r="E91" s="190">
        <f t="shared" si="78"/>
        <v>16</v>
      </c>
      <c r="F91" s="190" t="str">
        <f t="shared" si="105"/>
        <v>ALP.BSP.SOP.005.16</v>
      </c>
      <c r="G91" s="190" t="str">
        <f>IF(ISBLANK(N91),"",CONCATENATE(LEFT(F91,15),".",INDEX(Ref!A:A,MATCH(N91,Ref!$K$1:$K$333,0))))</f>
        <v/>
      </c>
      <c r="H91" s="180"/>
      <c r="I91" s="217"/>
      <c r="J91" s="180"/>
      <c r="K91" s="181"/>
      <c r="L91" s="182"/>
      <c r="M91" s="182"/>
      <c r="N91" s="183"/>
      <c r="O91" s="182"/>
      <c r="P91" s="182"/>
      <c r="Q91" s="184"/>
      <c r="R91" s="184"/>
      <c r="S91" s="185" t="str">
        <f>IFERROR(CLEAN(INDEX('Risk Matrix'!$H$7:$L$11,MATCH($Q91,'Risk Matrix'!$F$7:$F$11,0),MATCH($R91,'Risk Matrix'!$H$6:$L$6,0))),"")</f>
        <v/>
      </c>
      <c r="T91" s="85" t="str">
        <f>IF(LEFT($B91,7)=RIGHT('SOP template'!$B$1,7),_xlfn.NUMBERVALUE(RIGHT($S91,2)),"")</f>
        <v/>
      </c>
      <c r="U91" s="182"/>
      <c r="V91" s="182"/>
      <c r="W91" s="182"/>
      <c r="X91" s="182"/>
      <c r="Y91" s="182"/>
      <c r="Z91" s="182"/>
      <c r="AA91" s="186" t="str">
        <f>IFERROR(VLOOKUP(IFERROR(LEFT(S91,4),""),Ref!$AF$2:$AG$5,2,0),"")</f>
        <v/>
      </c>
      <c r="AB91" s="186"/>
      <c r="AC91" s="218"/>
      <c r="AD91" s="187" t="str">
        <f>IFERROR(VLOOKUP(AC91,'Training Matrix'!B$4:C$24,2,0),"")</f>
        <v/>
      </c>
      <c r="AE91" s="218"/>
      <c r="AF91" s="188" t="str">
        <f t="shared" si="84"/>
        <v/>
      </c>
      <c r="AG91" s="189" t="str">
        <f t="shared" ca="1" si="85"/>
        <v/>
      </c>
      <c r="AH91" s="50" t="str">
        <f t="shared" ref="AH91" si="111">IF(OR(AC91="",AE91=""),"",CONCATENATE(AC91,"_",K76,"_",L76))</f>
        <v/>
      </c>
    </row>
    <row r="92" spans="1:34" x14ac:dyDescent="0.25">
      <c r="A92" s="5" t="str">
        <f>IF(LEFT(F92,15)='SOP template'!$B$1,1,"")</f>
        <v/>
      </c>
      <c r="B92" s="190" t="str">
        <f t="shared" si="104"/>
        <v>SOP.005.17</v>
      </c>
      <c r="C92" s="190" t="str">
        <f t="shared" si="94"/>
        <v>SOP.005.</v>
      </c>
      <c r="D92" s="190" t="str">
        <f t="shared" si="95"/>
        <v>SOP.005.</v>
      </c>
      <c r="E92" s="190">
        <f t="shared" si="78"/>
        <v>17</v>
      </c>
      <c r="F92" s="190" t="str">
        <f t="shared" si="105"/>
        <v>ALP.BSP.SOP.005.17</v>
      </c>
      <c r="G92" s="190" t="str">
        <f>IF(ISBLANK(N92),"",CONCATENATE(LEFT(F92,15),".",INDEX(Ref!A:A,MATCH(N92,Ref!$K$1:$K$333,0))))</f>
        <v/>
      </c>
      <c r="H92" s="180"/>
      <c r="I92" s="217"/>
      <c r="J92" s="180"/>
      <c r="K92" s="181"/>
      <c r="L92" s="182"/>
      <c r="M92" s="182"/>
      <c r="N92" s="183"/>
      <c r="O92" s="182"/>
      <c r="P92" s="182"/>
      <c r="Q92" s="184"/>
      <c r="R92" s="184"/>
      <c r="S92" s="185" t="str">
        <f>IFERROR(CLEAN(INDEX('Risk Matrix'!$H$7:$L$11,MATCH($Q92,'Risk Matrix'!$F$7:$F$11,0),MATCH($R92,'Risk Matrix'!$H$6:$L$6,0))),"")</f>
        <v/>
      </c>
      <c r="T92" s="85" t="str">
        <f>IF(LEFT($B92,7)=RIGHT('SOP template'!$B$1,7),_xlfn.NUMBERVALUE(RIGHT($S92,2)),"")</f>
        <v/>
      </c>
      <c r="U92" s="182"/>
      <c r="V92" s="182"/>
      <c r="W92" s="182"/>
      <c r="X92" s="182"/>
      <c r="Y92" s="182"/>
      <c r="Z92" s="182"/>
      <c r="AA92" s="186" t="str">
        <f>IFERROR(VLOOKUP(IFERROR(LEFT(S92,4),""),Ref!$AF$2:$AG$5,2,0),"")</f>
        <v/>
      </c>
      <c r="AB92" s="186"/>
      <c r="AC92" s="218"/>
      <c r="AD92" s="187" t="str">
        <f>IFERROR(VLOOKUP(AC92,'Training Matrix'!B$4:C$24,2,0),"")</f>
        <v/>
      </c>
      <c r="AE92" s="218"/>
      <c r="AF92" s="188" t="str">
        <f t="shared" si="84"/>
        <v/>
      </c>
      <c r="AG92" s="189" t="str">
        <f t="shared" ca="1" si="85"/>
        <v/>
      </c>
      <c r="AH92" s="50" t="str">
        <f t="shared" ref="AH92" si="112">IF(OR(AC92="",AE92=""),"",CONCATENATE(AC92,"_",K76,"_",L76))</f>
        <v/>
      </c>
    </row>
    <row r="93" spans="1:34" x14ac:dyDescent="0.25">
      <c r="A93" s="5" t="str">
        <f>IF(LEFT(F93,15)='SOP template'!$B$1,1,"")</f>
        <v/>
      </c>
      <c r="B93" s="190" t="str">
        <f t="shared" si="104"/>
        <v>SOP.005.18</v>
      </c>
      <c r="C93" s="190" t="str">
        <f t="shared" si="94"/>
        <v>SOP.005.</v>
      </c>
      <c r="D93" s="190" t="str">
        <f t="shared" si="95"/>
        <v>SOP.005.</v>
      </c>
      <c r="E93" s="190">
        <f t="shared" si="78"/>
        <v>18</v>
      </c>
      <c r="F93" s="190" t="str">
        <f t="shared" si="105"/>
        <v>ALP.BSP.SOP.005.18</v>
      </c>
      <c r="G93" s="190" t="str">
        <f>IF(ISBLANK(N93),"",CONCATENATE(LEFT(F93,15),".",INDEX(Ref!A:A,MATCH(N93,Ref!$K$1:$K$333,0))))</f>
        <v/>
      </c>
      <c r="H93" s="180"/>
      <c r="I93" s="217"/>
      <c r="J93" s="180"/>
      <c r="K93" s="181"/>
      <c r="L93" s="182"/>
      <c r="M93" s="182"/>
      <c r="N93" s="183"/>
      <c r="O93" s="182"/>
      <c r="P93" s="182"/>
      <c r="Q93" s="184"/>
      <c r="R93" s="184"/>
      <c r="S93" s="185" t="str">
        <f>IFERROR(CLEAN(INDEX('Risk Matrix'!$H$7:$L$11,MATCH($Q93,'Risk Matrix'!$F$7:$F$11,0),MATCH($R93,'Risk Matrix'!$H$6:$L$6,0))),"")</f>
        <v/>
      </c>
      <c r="T93" s="85" t="str">
        <f>IF(LEFT($B93,7)=RIGHT('SOP template'!$B$1,7),_xlfn.NUMBERVALUE(RIGHT($S93,2)),"")</f>
        <v/>
      </c>
      <c r="U93" s="182"/>
      <c r="V93" s="182"/>
      <c r="W93" s="182"/>
      <c r="X93" s="182"/>
      <c r="Y93" s="182"/>
      <c r="Z93" s="182"/>
      <c r="AA93" s="186" t="str">
        <f>IFERROR(VLOOKUP(IFERROR(LEFT(S93,4),""),Ref!$AF$2:$AG$5,2,0),"")</f>
        <v/>
      </c>
      <c r="AB93" s="186"/>
      <c r="AC93" s="218"/>
      <c r="AD93" s="187" t="str">
        <f>IFERROR(VLOOKUP(AC93,'Training Matrix'!B$4:C$24,2,0),"")</f>
        <v/>
      </c>
      <c r="AE93" s="218"/>
      <c r="AF93" s="188" t="str">
        <f t="shared" si="84"/>
        <v/>
      </c>
      <c r="AG93" s="189" t="str">
        <f t="shared" ca="1" si="85"/>
        <v/>
      </c>
      <c r="AH93" s="50" t="str">
        <f t="shared" ref="AH93" si="113">IF(OR(AC93="",AE93=""),"",CONCATENATE(AC93,"_",K76,"_",L76))</f>
        <v/>
      </c>
    </row>
    <row r="94" spans="1:34" ht="45" x14ac:dyDescent="0.25">
      <c r="A94" s="5" t="str">
        <f>IF(LEFT(F94,15)='SOP template'!$B$1,1,"")</f>
        <v/>
      </c>
      <c r="B94" s="179" t="str">
        <f t="shared" ref="B94" si="114">IF(ISBLANK($K94),CONCATENATE($B$2,".",TEXT(J94,"000"),".",$E94),CONCATENATE(RIGHT($K94,7),".1"))</f>
        <v>SOP.006.1</v>
      </c>
      <c r="C94" s="179" t="str">
        <f>IF(ISBLANK($K94),CONCATENATE(LEFT($B64,8),IF($E94=1,1.1,IF($E94=2,1.4,IF($E94=3,2,IF($E94=4,2.4,IF($E94=5,3,IF($E94=6,3.4,IF($E94=7,4,IF($E94=8,4.4,IF($E94=9,5,IF($E94=10,5.4,IF($E94=11,6,IF($E94=12,6.4,""))))))))))))),CONCATENATE(RIGHT($K94,7),".1"))</f>
        <v>SOP.006.1</v>
      </c>
      <c r="D94" s="179" t="str">
        <f>IF(ISBLANK($K94),CONCATENATE(LEFT($B64,8),IF($E94=1,1,IF($E94=2,1.3,IF($E94=3,1.5,IF($E94=4,2,IF($E94=5,2.3,IF($E94=6,2.5,IF($E94=7,3,IF($E94=8,3.3,IF($E94=9,3.5,IF($E94=10,4,IF($E94=11,4.3,IF($E94=12,4.5,""))))))))))))),CONCATENATE(RIGHT($K94,7),".1"))</f>
        <v>SOP.006.1</v>
      </c>
      <c r="E94" s="179">
        <f t="shared" si="78"/>
        <v>1</v>
      </c>
      <c r="F94" s="179" t="str">
        <f t="shared" ref="F94" si="115">K94&amp;"."&amp;TEXT(E94,"00")</f>
        <v>ALP.BSP.SOP.006.01</v>
      </c>
      <c r="G94" s="179" t="str">
        <f>IF(ISBLANK(N94),"",CONCATENATE(LEFT(F94,15),".",INDEX(Ref!A:A,MATCH(N94,Ref!$K$1:$K$333,0))))</f>
        <v>ALP.BSP.SOP.006.1</v>
      </c>
      <c r="H94" s="217" t="s">
        <v>394</v>
      </c>
      <c r="I94" s="217" t="s">
        <v>275</v>
      </c>
      <c r="J94" s="180">
        <v>6</v>
      </c>
      <c r="K94" s="181" t="str">
        <f>IFERROR(CONCATENATE(INDEX(Ref!$Z$2:$Z$8,MATCH(H94,Ref!$AA$2:$AA$8,0)),".",I94,".SOP.",TEXT(J94,"000")),CONCATENATE(H94,".",I94,".SOP.",TEXT(J94,"000")))</f>
        <v>ALP.BSP.SOP.006</v>
      </c>
      <c r="L94" s="191" t="s">
        <v>571</v>
      </c>
      <c r="M94" s="182" t="s">
        <v>572</v>
      </c>
      <c r="N94" s="183" t="s">
        <v>117</v>
      </c>
      <c r="O94" s="182" t="s">
        <v>546</v>
      </c>
      <c r="P94" s="182" t="s">
        <v>547</v>
      </c>
      <c r="Q94" s="184" t="s">
        <v>195</v>
      </c>
      <c r="R94" s="184" t="s">
        <v>90</v>
      </c>
      <c r="S94" s="185" t="str">
        <f>IFERROR(CLEAN(INDEX('Risk Matrix'!$H$7:$L$11,MATCH($Q94,'Risk Matrix'!$F$7:$F$11,0),MATCH($R94,'Risk Matrix'!$H$6:$L$6,0))),"")</f>
        <v>High 3</v>
      </c>
      <c r="T94" s="85" t="str">
        <f>IF(LEFT($B94,7)=RIGHT('SOP template'!$B$1,7),_xlfn.NUMBERVALUE(RIGHT($S94,2)),"")</f>
        <v/>
      </c>
      <c r="U94" s="182" t="s">
        <v>578</v>
      </c>
      <c r="V94" s="182" t="s">
        <v>579</v>
      </c>
      <c r="W94" s="182" t="s">
        <v>580</v>
      </c>
      <c r="X94" s="182" t="s">
        <v>581</v>
      </c>
      <c r="Y94" s="182" t="s">
        <v>582</v>
      </c>
      <c r="Z94" s="182" t="s">
        <v>583</v>
      </c>
      <c r="AA94" s="186">
        <f>IFERROR(VLOOKUP(IFERROR(LEFT(S94,4),""),Ref!$AF$2:$AG$5,2,0),"")</f>
        <v>12</v>
      </c>
      <c r="AB94" s="186">
        <f>MIN($AA$94:$AA$111)</f>
        <v>12</v>
      </c>
      <c r="AC94" s="218" t="s">
        <v>289</v>
      </c>
      <c r="AD94" s="187" t="str">
        <f>IFERROR(VLOOKUP(AC94,'Training Matrix'!B$4:C$24,2,0),"")</f>
        <v>Dock Manager</v>
      </c>
      <c r="AE94" s="221">
        <v>45792</v>
      </c>
      <c r="AF94" s="188">
        <f t="shared" si="84"/>
        <v>46522</v>
      </c>
      <c r="AG94" s="189" t="str">
        <f t="shared" ca="1" si="85"/>
        <v>Current</v>
      </c>
      <c r="AH94" s="50" t="str">
        <f t="shared" ref="AH94" si="116">IF(OR(AC94="",AE94=""),"",CONCATENATE(AC94,"_",K94,"_",L94))</f>
        <v>Person 1_ALP.BSP.SOP.006_Clinical Waste Movement and Pick Up</v>
      </c>
    </row>
    <row r="95" spans="1:34" ht="60" x14ac:dyDescent="0.25">
      <c r="A95" s="5" t="str">
        <f>IF(LEFT(F95,15)='SOP template'!$B$1,1,"")</f>
        <v/>
      </c>
      <c r="B95" s="190" t="str">
        <f>CONCATENATE(LEFT(B94,8),E95)</f>
        <v>SOP.006.2</v>
      </c>
      <c r="C95" s="190" t="str">
        <f>IF(ISBLANK($K95),CONCATENATE(LEFT($B94,8),IF($E95=1,1.1,IF($E95=2,1.4,IF($E95=3,2,IF($E95=4,2.4,IF($E95=5,3,IF($E95=6,3.4,IF($E95=7,4,IF($E95=8,4.4,IF($E95=9,5,IF($E95=10,5.4,IF($E95=11,6,IF($E95=12,6.4,""))))))))))))),CONCATENATE(RIGHT($K95,7),".1"))</f>
        <v>SOP.006.1.4</v>
      </c>
      <c r="D95" s="190" t="str">
        <f>IF(ISBLANK($K95),CONCATENATE(LEFT($B94,8),IF($E95=1,1,IF($E95=2,1.3,IF($E95=3,1.5,IF($E95=4,2,IF($E95=5,2.3,IF($E95=6,2.5,IF($E95=7,3,IF($E95=8,3.3,IF($E95=9,3.5,IF($E95=10,4,IF($E95=11,4.3,IF($E95=12,4.5,""))))))))))))),CONCATENATE(RIGHT($K95,7),".1"))</f>
        <v>SOP.006.1.3</v>
      </c>
      <c r="E95" s="190">
        <f t="shared" si="78"/>
        <v>2</v>
      </c>
      <c r="F95" s="190" t="str">
        <f>IF(K95=0,LEFT(F94,16)&amp;TEXT(E95,"00"),K95&amp;"."&amp;TEXT(E95,"00"))</f>
        <v>ALP.BSP.SOP.006.02</v>
      </c>
      <c r="G95" s="190" t="str">
        <f>IF(ISBLANK(N95),"",CONCATENATE(LEFT(F95,15),".",INDEX(Ref!A:A,MATCH(N95,Ref!$K$1:$K$333,0))))</f>
        <v>ALP.BSP.SOP.006.7</v>
      </c>
      <c r="H95" s="180"/>
      <c r="I95" s="217"/>
      <c r="J95" s="180"/>
      <c r="K95" s="181"/>
      <c r="L95" s="182"/>
      <c r="M95" s="182"/>
      <c r="N95" s="183" t="s">
        <v>88</v>
      </c>
      <c r="O95" s="182" t="s">
        <v>548</v>
      </c>
      <c r="P95" s="182" t="s">
        <v>573</v>
      </c>
      <c r="Q95" s="184" t="s">
        <v>89</v>
      </c>
      <c r="R95" s="184" t="s">
        <v>91</v>
      </c>
      <c r="S95" s="185" t="str">
        <f>IFERROR(CLEAN(INDEX('Risk Matrix'!$H$7:$L$11,MATCH($Q95,'Risk Matrix'!$F$7:$F$11,0),MATCH($R95,'Risk Matrix'!$H$6:$L$6,0))),"")</f>
        <v>Low 1</v>
      </c>
      <c r="T95" s="85" t="str">
        <f>IF(LEFT($B95,7)=RIGHT('SOP template'!$B$1,7),_xlfn.NUMBERVALUE(RIGHT($S95,2)),"")</f>
        <v/>
      </c>
      <c r="U95" s="182" t="s">
        <v>494</v>
      </c>
      <c r="V95" s="182" t="s">
        <v>584</v>
      </c>
      <c r="W95" s="182" t="s">
        <v>585</v>
      </c>
      <c r="X95" s="182" t="s">
        <v>586</v>
      </c>
      <c r="Y95" s="182" t="s">
        <v>587</v>
      </c>
      <c r="Z95" s="182" t="s">
        <v>588</v>
      </c>
      <c r="AA95" s="186">
        <f>IFERROR(VLOOKUP(IFERROR(LEFT(S95,4),""),Ref!$AF$2:$AG$5,2,0),"")</f>
        <v>36</v>
      </c>
      <c r="AB95" s="186"/>
      <c r="AC95" s="218" t="s">
        <v>290</v>
      </c>
      <c r="AD95" s="187" t="str">
        <f>IFERROR(VLOOKUP(AC95,'Training Matrix'!B$4:C$24,2,0),"")</f>
        <v>WHS Team member</v>
      </c>
      <c r="AE95" s="221">
        <v>45792</v>
      </c>
      <c r="AF95" s="188">
        <f t="shared" si="84"/>
        <v>46522</v>
      </c>
      <c r="AG95" s="189" t="str">
        <f t="shared" ca="1" si="85"/>
        <v>Current</v>
      </c>
      <c r="AH95" s="50" t="str">
        <f t="shared" ref="AH95" si="117">IF(OR(AC95="",AE95=""),"",CONCATENATE(AC95,"_",K94,"_",L94))</f>
        <v>Person 2_ALP.BSP.SOP.006_Clinical Waste Movement and Pick Up</v>
      </c>
    </row>
    <row r="96" spans="1:34" ht="60" x14ac:dyDescent="0.25">
      <c r="A96" s="5" t="str">
        <f>IF(LEFT(F96,15)='SOP template'!$B$1,1,"")</f>
        <v/>
      </c>
      <c r="B96" s="190" t="str">
        <f t="shared" si="16"/>
        <v>SOP.006.3</v>
      </c>
      <c r="C96" s="190" t="str">
        <f t="shared" ref="C96:C111" si="118">IF(ISBLANK($K96),CONCATENATE(LEFT($B95,8),IF($E96=1,1.1,IF($E96=2,1.4,IF($E96=3,2,IF($E96=4,2.4,IF($E96=5,3,IF($E96=6,3.4,IF($E96=7,4,IF($E96=8,4.4,IF($E96=9,5,IF($E96=10,5.4,IF($E96=11,6,IF($E96=12,6.4,""))))))))))))),CONCATENATE(RIGHT($K96,7),".1"))</f>
        <v>SOP.006.2</v>
      </c>
      <c r="D96" s="190" t="str">
        <f t="shared" ref="D96:D111" si="119">IF(ISBLANK($K96),CONCATENATE(LEFT($B95,8),IF($E96=1,1,IF($E96=2,1.3,IF($E96=3,1.5,IF($E96=4,2,IF($E96=5,2.3,IF($E96=6,2.5,IF($E96=7,3,IF($E96=8,3.3,IF($E96=9,3.5,IF($E96=10,4,IF($E96=11,4.3,IF($E96=12,4.5,""))))))))))))),CONCATENATE(RIGHT($K96,7),".1"))</f>
        <v>SOP.006.1.5</v>
      </c>
      <c r="E96" s="190">
        <f t="shared" si="78"/>
        <v>3</v>
      </c>
      <c r="F96" s="190" t="str">
        <f t="shared" si="18"/>
        <v>ALP.BSP.SOP.006.03</v>
      </c>
      <c r="G96" s="190" t="str">
        <f>IF(ISBLANK(N96),"",CONCATENATE(LEFT(F96,15),".",INDEX(Ref!A:A,MATCH(N96,Ref!$K$1:$K$333,0))))</f>
        <v>ALP.BSP.SOP.006.11</v>
      </c>
      <c r="H96" s="180"/>
      <c r="I96" s="217"/>
      <c r="J96" s="180"/>
      <c r="K96" s="181"/>
      <c r="L96" s="182"/>
      <c r="M96" s="182"/>
      <c r="N96" s="183" t="s">
        <v>95</v>
      </c>
      <c r="O96" s="182" t="s">
        <v>574</v>
      </c>
      <c r="P96" s="182" t="s">
        <v>575</v>
      </c>
      <c r="Q96" s="184" t="s">
        <v>89</v>
      </c>
      <c r="R96" s="184" t="s">
        <v>91</v>
      </c>
      <c r="S96" s="185" t="str">
        <f>IFERROR(CLEAN(INDEX('Risk Matrix'!$H$7:$L$11,MATCH($Q96,'Risk Matrix'!$F$7:$F$11,0),MATCH($R96,'Risk Matrix'!$H$6:$L$6,0))),"")</f>
        <v>Low 1</v>
      </c>
      <c r="T96" s="85" t="str">
        <f>IF(LEFT($B96,7)=RIGHT('SOP template'!$B$1,7),_xlfn.NUMBERVALUE(RIGHT($S96,2)),"")</f>
        <v/>
      </c>
      <c r="U96" s="182" t="s">
        <v>589</v>
      </c>
      <c r="V96" s="182" t="s">
        <v>590</v>
      </c>
      <c r="W96" s="182" t="s">
        <v>591</v>
      </c>
      <c r="X96" s="182" t="s">
        <v>592</v>
      </c>
      <c r="Y96" s="182" t="s">
        <v>593</v>
      </c>
      <c r="Z96" s="182" t="s">
        <v>486</v>
      </c>
      <c r="AA96" s="186">
        <f>IFERROR(VLOOKUP(IFERROR(LEFT(S96,4),""),Ref!$AF$2:$AG$5,2,0),"")</f>
        <v>36</v>
      </c>
      <c r="AB96" s="186"/>
      <c r="AC96" s="218" t="s">
        <v>167</v>
      </c>
      <c r="AD96" s="187" t="str">
        <f>IFERROR(VLOOKUP(AC96,'Training Matrix'!B$4:C$24,2,0),"")</f>
        <v>Bioscience Manager</v>
      </c>
      <c r="AE96" s="221">
        <v>45792</v>
      </c>
      <c r="AF96" s="188">
        <f t="shared" si="84"/>
        <v>46522</v>
      </c>
      <c r="AG96" s="189" t="str">
        <f t="shared" ca="1" si="85"/>
        <v>Current</v>
      </c>
      <c r="AH96" s="50" t="str">
        <f t="shared" ref="AH96" si="120">IF(OR(AC96="",AE96=""),"",CONCATENATE(AC96,"_",K94,"_",L94))</f>
        <v>Person 3_ALP.BSP.SOP.006_Clinical Waste Movement and Pick Up</v>
      </c>
    </row>
    <row r="97" spans="1:34" ht="75" x14ac:dyDescent="0.25">
      <c r="A97" s="5" t="str">
        <f>IF(LEFT(F97,15)='SOP template'!$B$1,1,"")</f>
        <v/>
      </c>
      <c r="B97" s="190" t="str">
        <f t="shared" si="16"/>
        <v>SOP.006.4</v>
      </c>
      <c r="C97" s="190" t="str">
        <f>IF(ISBLANK($K97),CONCATENATE(LEFT($B96,8),IF($E97=1,1.1,IF($E97=2,1.4,IF($E97=3,2,IF($E97=4,2.4,IF($E97=5,3,IF($E97=6,3.4,IF($E97=7,4,IF($E97=8,4.4,IF($E97=9,5,IF($E97=10,5.4,IF($E97=11,6,IF($E97=12,6.4,""))))))))))))),CONCATENATE(RIGHT($K97,7),".1"))</f>
        <v>SOP.006.2.4</v>
      </c>
      <c r="D97" s="190" t="str">
        <f t="shared" si="119"/>
        <v>SOP.006.2</v>
      </c>
      <c r="E97" s="190">
        <f t="shared" si="78"/>
        <v>4</v>
      </c>
      <c r="F97" s="190" t="str">
        <f t="shared" si="18"/>
        <v>ALP.BSP.SOP.006.04</v>
      </c>
      <c r="G97" s="190" t="str">
        <f>IF(ISBLANK(N97),"",CONCATENATE(LEFT(F97,15),".",INDEX(Ref!A:A,MATCH(N97,Ref!$K$1:$K$333,0))))</f>
        <v/>
      </c>
      <c r="H97" s="180"/>
      <c r="I97" s="217"/>
      <c r="J97" s="180"/>
      <c r="K97" s="181"/>
      <c r="L97" s="182"/>
      <c r="M97" s="182"/>
      <c r="N97" s="183"/>
      <c r="O97" s="182" t="s">
        <v>576</v>
      </c>
      <c r="P97" s="182" t="s">
        <v>577</v>
      </c>
      <c r="Q97" s="184" t="s">
        <v>92</v>
      </c>
      <c r="R97" s="184" t="s">
        <v>91</v>
      </c>
      <c r="S97" s="185" t="str">
        <f>IFERROR(CLEAN(INDEX('Risk Matrix'!$H$7:$L$11,MATCH($Q97,'Risk Matrix'!$F$7:$F$11,0),MATCH($R97,'Risk Matrix'!$H$6:$L$6,0))),"")</f>
        <v>Medium 2</v>
      </c>
      <c r="T97" s="85" t="str">
        <f>IF(LEFT($B97,7)=RIGHT('SOP template'!$B$1,7),_xlfn.NUMBERVALUE(RIGHT($S97,2)),"")</f>
        <v/>
      </c>
      <c r="U97" s="182" t="s">
        <v>594</v>
      </c>
      <c r="V97" s="182"/>
      <c r="W97" s="182" t="s">
        <v>595</v>
      </c>
      <c r="X97" s="182" t="s">
        <v>596</v>
      </c>
      <c r="Y97" s="182" t="s">
        <v>597</v>
      </c>
      <c r="Z97" s="182" t="s">
        <v>598</v>
      </c>
      <c r="AA97" s="186">
        <f>IFERROR(VLOOKUP(IFERROR(LEFT(S97,4),""),Ref!$AF$2:$AG$5,2,0),"")</f>
        <v>24</v>
      </c>
      <c r="AB97" s="186"/>
      <c r="AC97" s="218" t="s">
        <v>168</v>
      </c>
      <c r="AD97" s="187" t="str">
        <f>IFERROR(VLOOKUP(AC97,'Training Matrix'!B$4:C$24,2,0),"")</f>
        <v>Collection Manager</v>
      </c>
      <c r="AE97" s="221">
        <v>45792</v>
      </c>
      <c r="AF97" s="188">
        <f t="shared" si="84"/>
        <v>46522</v>
      </c>
      <c r="AG97" s="189" t="str">
        <f t="shared" ca="1" si="85"/>
        <v>Current</v>
      </c>
      <c r="AH97" s="50" t="str">
        <f t="shared" ref="AH97" si="121">IF(OR(AC97="",AE97=""),"",CONCATENATE(AC97,"_",K94,"_",L94))</f>
        <v>Person 4_ALP.BSP.SOP.006_Clinical Waste Movement and Pick Up</v>
      </c>
    </row>
    <row r="98" spans="1:34" ht="45" x14ac:dyDescent="0.25">
      <c r="A98" s="5" t="str">
        <f>IF(LEFT(F98,15)='SOP template'!$B$1,1,"")</f>
        <v/>
      </c>
      <c r="B98" s="190" t="str">
        <f t="shared" si="16"/>
        <v>SOP.006.5</v>
      </c>
      <c r="C98" s="190" t="str">
        <f t="shared" si="118"/>
        <v>SOP.006.3</v>
      </c>
      <c r="D98" s="190" t="str">
        <f t="shared" si="119"/>
        <v>SOP.006.2.3</v>
      </c>
      <c r="E98" s="190">
        <f t="shared" si="78"/>
        <v>5</v>
      </c>
      <c r="F98" s="190" t="str">
        <f t="shared" si="18"/>
        <v>ALP.BSP.SOP.006.05</v>
      </c>
      <c r="G98" s="190" t="str">
        <f>IF(ISBLANK(N98),"",CONCATENATE(LEFT(F98,15),".",INDEX(Ref!A:A,MATCH(N98,Ref!$K$1:$K$333,0))))</f>
        <v/>
      </c>
      <c r="H98" s="180"/>
      <c r="I98" s="217"/>
      <c r="J98" s="180"/>
      <c r="K98" s="181"/>
      <c r="L98" s="182"/>
      <c r="M98" s="182"/>
      <c r="N98" s="183"/>
      <c r="O98" s="182"/>
      <c r="P98" s="182"/>
      <c r="Q98" s="184"/>
      <c r="R98" s="184"/>
      <c r="S98" s="185" t="str">
        <f>IFERROR(CLEAN(INDEX('Risk Matrix'!$H$7:$L$11,MATCH($Q98,'Risk Matrix'!$F$7:$F$11,0),MATCH($R98,'Risk Matrix'!$H$6:$L$6,0))),"")</f>
        <v/>
      </c>
      <c r="T98" s="85" t="str">
        <f>IF(LEFT($B98,7)=RIGHT('SOP template'!$B$1,7),_xlfn.NUMBERVALUE(RIGHT($S98,2)),"")</f>
        <v/>
      </c>
      <c r="U98" s="182"/>
      <c r="V98" s="182"/>
      <c r="W98" s="182" t="s">
        <v>599</v>
      </c>
      <c r="X98" s="182" t="s">
        <v>600</v>
      </c>
      <c r="Y98" s="182" t="s">
        <v>468</v>
      </c>
      <c r="Z98" s="182"/>
      <c r="AA98" s="186" t="str">
        <f>IFERROR(VLOOKUP(IFERROR(LEFT(S98,4),""),Ref!$AF$2:$AG$5,2,0),"")</f>
        <v/>
      </c>
      <c r="AB98" s="186"/>
      <c r="AC98" s="218" t="s">
        <v>169</v>
      </c>
      <c r="AD98" s="187" t="str">
        <f>IFERROR(VLOOKUP(AC98,'Training Matrix'!B$4:C$24,2,0),"")</f>
        <v>Technician</v>
      </c>
      <c r="AE98" s="221">
        <v>45792</v>
      </c>
      <c r="AF98" s="188">
        <f t="shared" si="84"/>
        <v>46522</v>
      </c>
      <c r="AG98" s="189" t="str">
        <f t="shared" ca="1" si="85"/>
        <v>Current</v>
      </c>
      <c r="AH98" s="50" t="str">
        <f t="shared" ref="AH98" si="122">IF(OR(AC98="",AE98=""),"",CONCATENATE(AC98,"_",K94,"_",L94))</f>
        <v>Person 5_ALP.BSP.SOP.006_Clinical Waste Movement and Pick Up</v>
      </c>
    </row>
    <row r="99" spans="1:34" ht="45" x14ac:dyDescent="0.25">
      <c r="A99" s="5" t="str">
        <f>IF(LEFT(F99,15)='SOP template'!$B$1,1,"")</f>
        <v/>
      </c>
      <c r="B99" s="190" t="str">
        <f t="shared" si="16"/>
        <v>SOP.006.6</v>
      </c>
      <c r="C99" s="190" t="str">
        <f t="shared" si="118"/>
        <v>SOP.006.3.4</v>
      </c>
      <c r="D99" s="190" t="str">
        <f t="shared" si="119"/>
        <v>SOP.006.2.5</v>
      </c>
      <c r="E99" s="190">
        <f t="shared" si="78"/>
        <v>6</v>
      </c>
      <c r="F99" s="190" t="str">
        <f t="shared" si="18"/>
        <v>ALP.BSP.SOP.006.06</v>
      </c>
      <c r="G99" s="190" t="str">
        <f>IF(ISBLANK(N99),"",CONCATENATE(LEFT(F99,15),".",INDEX(Ref!A:A,MATCH(N99,Ref!$K$1:$K$333,0))))</f>
        <v/>
      </c>
      <c r="H99" s="180"/>
      <c r="I99" s="217"/>
      <c r="J99" s="180"/>
      <c r="K99" s="181"/>
      <c r="L99" s="182"/>
      <c r="M99" s="182"/>
      <c r="N99" s="183"/>
      <c r="O99" s="182"/>
      <c r="P99" s="182"/>
      <c r="Q99" s="184"/>
      <c r="R99" s="184"/>
      <c r="S99" s="185" t="str">
        <f>IFERROR(CLEAN(INDEX('Risk Matrix'!$H$7:$L$11,MATCH($Q99,'Risk Matrix'!$F$7:$F$11,0),MATCH($R99,'Risk Matrix'!$H$6:$L$6,0))),"")</f>
        <v/>
      </c>
      <c r="T99" s="85" t="str">
        <f>IF(LEFT($B99,7)=RIGHT('SOP template'!$B$1,7),_xlfn.NUMBERVALUE(RIGHT($S99,2)),"")</f>
        <v/>
      </c>
      <c r="U99" s="182"/>
      <c r="V99" s="182"/>
      <c r="W99" s="182" t="s">
        <v>601</v>
      </c>
      <c r="X99" s="182" t="s">
        <v>602</v>
      </c>
      <c r="Y99" s="182"/>
      <c r="Z99" s="182"/>
      <c r="AA99" s="186" t="str">
        <f>IFERROR(VLOOKUP(IFERROR(LEFT(S99,4),""),Ref!$AF$2:$AG$5,2,0),"")</f>
        <v/>
      </c>
      <c r="AB99" s="186"/>
      <c r="AC99" s="218" t="s">
        <v>170</v>
      </c>
      <c r="AD99" s="187" t="str">
        <f>IFERROR(VLOOKUP(AC99,'Training Matrix'!B$4:C$24,2,0),"")</f>
        <v>Scientist</v>
      </c>
      <c r="AE99" s="221">
        <v>45792</v>
      </c>
      <c r="AF99" s="188">
        <f t="shared" si="84"/>
        <v>46522</v>
      </c>
      <c r="AG99" s="189" t="str">
        <f t="shared" ca="1" si="85"/>
        <v>Current</v>
      </c>
      <c r="AH99" s="50" t="str">
        <f t="shared" ref="AH99" si="123">IF(OR(AC99="",AE99=""),"",CONCATENATE(AC99,"_",K94,"_",L94))</f>
        <v>Person 6_ALP.BSP.SOP.006_Clinical Waste Movement and Pick Up</v>
      </c>
    </row>
    <row r="100" spans="1:34" ht="45" x14ac:dyDescent="0.25">
      <c r="A100" s="5" t="str">
        <f>IF(LEFT(F100,15)='SOP template'!$B$1,1,"")</f>
        <v/>
      </c>
      <c r="B100" s="190" t="str">
        <f t="shared" si="16"/>
        <v>SOP.006.7</v>
      </c>
      <c r="C100" s="190" t="str">
        <f t="shared" si="118"/>
        <v>SOP.006.4</v>
      </c>
      <c r="D100" s="190" t="str">
        <f t="shared" si="119"/>
        <v>SOP.006.3</v>
      </c>
      <c r="E100" s="190">
        <f t="shared" si="78"/>
        <v>7</v>
      </c>
      <c r="F100" s="190" t="str">
        <f t="shared" si="18"/>
        <v>ALP.BSP.SOP.006.07</v>
      </c>
      <c r="G100" s="190" t="str">
        <f>IF(ISBLANK(N100),"",CONCATENATE(LEFT(F100,15),".",INDEX(Ref!A:A,MATCH(N100,Ref!$K$1:$K$333,0))))</f>
        <v/>
      </c>
      <c r="H100" s="180"/>
      <c r="I100" s="217"/>
      <c r="J100" s="180"/>
      <c r="K100" s="181"/>
      <c r="L100" s="182"/>
      <c r="M100" s="182"/>
      <c r="N100" s="183"/>
      <c r="O100" s="182"/>
      <c r="P100" s="182"/>
      <c r="Q100" s="184"/>
      <c r="R100" s="184"/>
      <c r="S100" s="185" t="str">
        <f>IFERROR(CLEAN(INDEX('Risk Matrix'!$H$7:$L$11,MATCH($Q100,'Risk Matrix'!$F$7:$F$11,0),MATCH($R100,'Risk Matrix'!$H$6:$L$6,0))),"")</f>
        <v/>
      </c>
      <c r="T100" s="85" t="str">
        <f>IF(LEFT($B100,7)=RIGHT('SOP template'!$B$1,7),_xlfn.NUMBERVALUE(RIGHT($S100,2)),"")</f>
        <v/>
      </c>
      <c r="U100" s="182"/>
      <c r="V100" s="182"/>
      <c r="W100" s="182" t="s">
        <v>603</v>
      </c>
      <c r="X100" s="182" t="s">
        <v>604</v>
      </c>
      <c r="Y100" s="182"/>
      <c r="Z100" s="182"/>
      <c r="AA100" s="186" t="str">
        <f>IFERROR(VLOOKUP(IFERROR(LEFT(S100,4),""),Ref!$AF$2:$AG$5,2,0),"")</f>
        <v/>
      </c>
      <c r="AB100" s="186"/>
      <c r="AC100" s="218"/>
      <c r="AD100" s="187" t="str">
        <f>IFERROR(VLOOKUP(AC100,'Training Matrix'!B$4:C$24,2,0),"")</f>
        <v/>
      </c>
      <c r="AE100" s="221"/>
      <c r="AF100" s="188" t="str">
        <f t="shared" si="84"/>
        <v/>
      </c>
      <c r="AG100" s="189" t="str">
        <f t="shared" ca="1" si="85"/>
        <v/>
      </c>
      <c r="AH100" s="50" t="str">
        <f t="shared" ref="AH100" si="124">IF(OR(AC100="",AE100=""),"",CONCATENATE(AC100,"_",K94,"_",L94))</f>
        <v/>
      </c>
    </row>
    <row r="101" spans="1:34" x14ac:dyDescent="0.25">
      <c r="A101" s="5" t="str">
        <f>IF(LEFT(F101,15)='SOP template'!$B$1,1,"")</f>
        <v/>
      </c>
      <c r="B101" s="190" t="str">
        <f t="shared" si="16"/>
        <v>SOP.006.8</v>
      </c>
      <c r="C101" s="190" t="str">
        <f t="shared" si="118"/>
        <v>SOP.006.4.4</v>
      </c>
      <c r="D101" s="190" t="str">
        <f t="shared" si="119"/>
        <v>SOP.006.3.3</v>
      </c>
      <c r="E101" s="190">
        <f t="shared" si="78"/>
        <v>8</v>
      </c>
      <c r="F101" s="190" t="str">
        <f t="shared" si="18"/>
        <v>ALP.BSP.SOP.006.08</v>
      </c>
      <c r="G101" s="190" t="str">
        <f>IF(ISBLANK(N101),"",CONCATENATE(LEFT(F101,15),".",INDEX(Ref!A:A,MATCH(N101,Ref!$K$1:$K$333,0))))</f>
        <v/>
      </c>
      <c r="H101" s="180"/>
      <c r="I101" s="217"/>
      <c r="J101" s="180"/>
      <c r="K101" s="181"/>
      <c r="L101" s="182"/>
      <c r="M101" s="182"/>
      <c r="N101" s="183"/>
      <c r="O101" s="182"/>
      <c r="P101" s="182"/>
      <c r="Q101" s="184"/>
      <c r="R101" s="184"/>
      <c r="S101" s="185" t="str">
        <f>IFERROR(CLEAN(INDEX('Risk Matrix'!$H$7:$L$11,MATCH($Q101,'Risk Matrix'!$F$7:$F$11,0),MATCH($R101,'Risk Matrix'!$H$6:$L$6,0))),"")</f>
        <v/>
      </c>
      <c r="T101" s="85" t="str">
        <f>IF(LEFT($B101,7)=RIGHT('SOP template'!$B$1,7),_xlfn.NUMBERVALUE(RIGHT($S101,2)),"")</f>
        <v/>
      </c>
      <c r="U101" s="182"/>
      <c r="V101" s="182"/>
      <c r="W101" s="182"/>
      <c r="X101" s="182"/>
      <c r="Y101" s="182"/>
      <c r="Z101" s="182"/>
      <c r="AA101" s="186" t="str">
        <f>IFERROR(VLOOKUP(IFERROR(LEFT(S101,4),""),Ref!$AF$2:$AG$5,2,0),"")</f>
        <v/>
      </c>
      <c r="AB101" s="186"/>
      <c r="AC101" s="218"/>
      <c r="AD101" s="187" t="str">
        <f>IFERROR(VLOOKUP(AC101,'Training Matrix'!B$4:C$24,2,0),"")</f>
        <v/>
      </c>
      <c r="AE101" s="221"/>
      <c r="AF101" s="188" t="str">
        <f t="shared" si="84"/>
        <v/>
      </c>
      <c r="AG101" s="189" t="str">
        <f t="shared" ca="1" si="85"/>
        <v/>
      </c>
      <c r="AH101" s="50" t="str">
        <f t="shared" ref="AH101" si="125">IF(OR(AC101="",AE101=""),"",CONCATENATE(AC101,"_",K94,"_",L94))</f>
        <v/>
      </c>
    </row>
    <row r="102" spans="1:34" x14ac:dyDescent="0.25">
      <c r="A102" s="5" t="str">
        <f>IF(LEFT(F102,15)='SOP template'!$B$1,1,"")</f>
        <v/>
      </c>
      <c r="B102" s="190" t="str">
        <f t="shared" si="16"/>
        <v>SOP.006.9</v>
      </c>
      <c r="C102" s="190" t="str">
        <f t="shared" si="118"/>
        <v>SOP.006.5</v>
      </c>
      <c r="D102" s="190" t="str">
        <f t="shared" si="119"/>
        <v>SOP.006.3.5</v>
      </c>
      <c r="E102" s="190">
        <f t="shared" si="78"/>
        <v>9</v>
      </c>
      <c r="F102" s="190" t="str">
        <f t="shared" si="18"/>
        <v>ALP.BSP.SOP.006.09</v>
      </c>
      <c r="G102" s="190" t="str">
        <f>IF(ISBLANK(N102),"",CONCATENATE(LEFT(F102,15),".",INDEX(Ref!A:A,MATCH(N102,Ref!$K$1:$K$333,0))))</f>
        <v/>
      </c>
      <c r="H102" s="180"/>
      <c r="I102" s="217"/>
      <c r="J102" s="180"/>
      <c r="K102" s="181"/>
      <c r="L102" s="182"/>
      <c r="M102" s="182"/>
      <c r="N102" s="183"/>
      <c r="O102" s="182"/>
      <c r="P102" s="182"/>
      <c r="Q102" s="184"/>
      <c r="R102" s="184"/>
      <c r="S102" s="185" t="str">
        <f>IFERROR(CLEAN(INDEX('Risk Matrix'!$H$7:$L$11,MATCH($Q102,'Risk Matrix'!$F$7:$F$11,0),MATCH($R102,'Risk Matrix'!$H$6:$L$6,0))),"")</f>
        <v/>
      </c>
      <c r="T102" s="85" t="str">
        <f>IF(LEFT($B102,7)=RIGHT('SOP template'!$B$1,7),_xlfn.NUMBERVALUE(RIGHT($S102,2)),"")</f>
        <v/>
      </c>
      <c r="U102" s="182"/>
      <c r="V102" s="182"/>
      <c r="W102" s="182"/>
      <c r="X102" s="182"/>
      <c r="Y102" s="182"/>
      <c r="Z102" s="182"/>
      <c r="AA102" s="186" t="str">
        <f>IFERROR(VLOOKUP(IFERROR(LEFT(S102,4),""),Ref!$AF$2:$AG$5,2,0),"")</f>
        <v/>
      </c>
      <c r="AB102" s="186"/>
      <c r="AC102" s="218"/>
      <c r="AD102" s="187" t="str">
        <f>IFERROR(VLOOKUP(AC102,'Training Matrix'!B$4:C$24,2,0),"")</f>
        <v/>
      </c>
      <c r="AE102" s="221"/>
      <c r="AF102" s="188" t="str">
        <f t="shared" si="84"/>
        <v/>
      </c>
      <c r="AG102" s="189" t="str">
        <f t="shared" ca="1" si="85"/>
        <v/>
      </c>
      <c r="AH102" s="50" t="str">
        <f t="shared" ref="AH102" si="126">IF(OR(AC102="",AE102=""),"",CONCATENATE(AC102,"_",K94,"_",L94))</f>
        <v/>
      </c>
    </row>
    <row r="103" spans="1:34" x14ac:dyDescent="0.25">
      <c r="A103" s="5" t="str">
        <f>IF(LEFT(F103,15)='SOP template'!$B$1,1,"")</f>
        <v/>
      </c>
      <c r="B103" s="190" t="str">
        <f t="shared" si="16"/>
        <v>SOP.006.10</v>
      </c>
      <c r="C103" s="190" t="str">
        <f t="shared" si="118"/>
        <v>SOP.006.5.4</v>
      </c>
      <c r="D103" s="190" t="str">
        <f t="shared" si="119"/>
        <v>SOP.006.4</v>
      </c>
      <c r="E103" s="190">
        <f t="shared" si="78"/>
        <v>10</v>
      </c>
      <c r="F103" s="190" t="str">
        <f t="shared" si="18"/>
        <v>ALP.BSP.SOP.006.10</v>
      </c>
      <c r="G103" s="190" t="str">
        <f>IF(ISBLANK(N103),"",CONCATENATE(LEFT(F103,15),".",INDEX(Ref!A:A,MATCH(N103,Ref!$K$1:$K$333,0))))</f>
        <v/>
      </c>
      <c r="H103" s="180"/>
      <c r="I103" s="217"/>
      <c r="J103" s="180"/>
      <c r="K103" s="181"/>
      <c r="L103" s="182"/>
      <c r="M103" s="182"/>
      <c r="N103" s="183"/>
      <c r="O103" s="182"/>
      <c r="P103" s="182"/>
      <c r="Q103" s="184"/>
      <c r="R103" s="184"/>
      <c r="S103" s="185" t="str">
        <f>IFERROR(CLEAN(INDEX('Risk Matrix'!$H$7:$L$11,MATCH($Q103,'Risk Matrix'!$F$7:$F$11,0),MATCH($R103,'Risk Matrix'!$H$6:$L$6,0))),"")</f>
        <v/>
      </c>
      <c r="T103" s="85" t="str">
        <f>IF(LEFT($B103,7)=RIGHT('SOP template'!$B$1,7),_xlfn.NUMBERVALUE(RIGHT($S103,2)),"")</f>
        <v/>
      </c>
      <c r="U103" s="182"/>
      <c r="V103" s="182"/>
      <c r="W103" s="182"/>
      <c r="X103" s="182"/>
      <c r="Y103" s="182"/>
      <c r="Z103" s="182"/>
      <c r="AA103" s="186" t="str">
        <f>IFERROR(VLOOKUP(IFERROR(LEFT(S103,4),""),Ref!$AF$2:$AG$5,2,0),"")</f>
        <v/>
      </c>
      <c r="AB103" s="186"/>
      <c r="AC103" s="218"/>
      <c r="AD103" s="187" t="str">
        <f>IFERROR(VLOOKUP(AC103,'Training Matrix'!B$4:C$24,2,0),"")</f>
        <v/>
      </c>
      <c r="AE103" s="221"/>
      <c r="AF103" s="188" t="str">
        <f t="shared" si="84"/>
        <v/>
      </c>
      <c r="AG103" s="189" t="str">
        <f t="shared" ca="1" si="85"/>
        <v/>
      </c>
      <c r="AH103" s="50" t="str">
        <f t="shared" ref="AH103" si="127">IF(OR(AC103="",AE103=""),"",CONCATENATE(AC103,"_",K94,"_",L94))</f>
        <v/>
      </c>
    </row>
    <row r="104" spans="1:34" x14ac:dyDescent="0.25">
      <c r="A104" s="5" t="str">
        <f>IF(LEFT(F104,15)='SOP template'!$B$1,1,"")</f>
        <v/>
      </c>
      <c r="B104" s="190" t="str">
        <f t="shared" ref="B104:B111" si="128">CONCATENATE(LEFT(B103,8),E104)</f>
        <v>SOP.006.11</v>
      </c>
      <c r="C104" s="190" t="str">
        <f t="shared" si="118"/>
        <v>SOP.006.6</v>
      </c>
      <c r="D104" s="190" t="str">
        <f t="shared" si="119"/>
        <v>SOP.006.4.3</v>
      </c>
      <c r="E104" s="190">
        <f t="shared" si="78"/>
        <v>11</v>
      </c>
      <c r="F104" s="190" t="str">
        <f t="shared" ref="F104:F111" si="129">IF(K104=0,LEFT(F103,16)&amp;TEXT(E104,"00"),K104&amp;"."&amp;TEXT(E104,"00"))</f>
        <v>ALP.BSP.SOP.006.11</v>
      </c>
      <c r="G104" s="190" t="str">
        <f>IF(ISBLANK(N104),"",CONCATENATE(LEFT(F104,15),".",INDEX(Ref!A:A,MATCH(N104,Ref!$K$1:$K$333,0))))</f>
        <v/>
      </c>
      <c r="H104" s="180"/>
      <c r="I104" s="217"/>
      <c r="J104" s="180"/>
      <c r="K104" s="181"/>
      <c r="L104" s="182"/>
      <c r="M104" s="182"/>
      <c r="N104" s="183"/>
      <c r="O104" s="182"/>
      <c r="P104" s="182"/>
      <c r="Q104" s="184"/>
      <c r="R104" s="184"/>
      <c r="S104" s="185" t="str">
        <f>IFERROR(CLEAN(INDEX('Risk Matrix'!$H$7:$L$11,MATCH($Q104,'Risk Matrix'!$F$7:$F$11,0),MATCH($R104,'Risk Matrix'!$H$6:$L$6,0))),"")</f>
        <v/>
      </c>
      <c r="T104" s="85" t="str">
        <f>IF(LEFT($B104,7)=RIGHT('SOP template'!$B$1,7),_xlfn.NUMBERVALUE(RIGHT($S104,2)),"")</f>
        <v/>
      </c>
      <c r="U104" s="182"/>
      <c r="V104" s="182"/>
      <c r="W104" s="182"/>
      <c r="X104" s="182"/>
      <c r="Y104" s="182"/>
      <c r="Z104" s="182"/>
      <c r="AA104" s="186" t="str">
        <f>IFERROR(VLOOKUP(IFERROR(LEFT(S104,4),""),Ref!$AF$2:$AG$5,2,0),"")</f>
        <v/>
      </c>
      <c r="AB104" s="186"/>
      <c r="AC104" s="218"/>
      <c r="AD104" s="187" t="str">
        <f>IFERROR(VLOOKUP(AC104,'Training Matrix'!B$4:C$24,2,0),"")</f>
        <v/>
      </c>
      <c r="AE104" s="221"/>
      <c r="AF104" s="188" t="str">
        <f t="shared" si="84"/>
        <v/>
      </c>
      <c r="AG104" s="189" t="str">
        <f t="shared" ca="1" si="85"/>
        <v/>
      </c>
      <c r="AH104" s="50" t="str">
        <f t="shared" ref="AH104" si="130">IF(OR(AC104="",AE104=""),"",CONCATENATE(AC104,"_",K94,"_",L94))</f>
        <v/>
      </c>
    </row>
    <row r="105" spans="1:34" x14ac:dyDescent="0.25">
      <c r="A105" s="5" t="str">
        <f>IF(LEFT(F105,15)='SOP template'!$B$1,1,"")</f>
        <v/>
      </c>
      <c r="B105" s="190" t="str">
        <f t="shared" si="128"/>
        <v>SOP.006.12</v>
      </c>
      <c r="C105" s="190" t="str">
        <f t="shared" si="118"/>
        <v>SOP.006.6.4</v>
      </c>
      <c r="D105" s="190" t="str">
        <f t="shared" si="119"/>
        <v>SOP.006.4.5</v>
      </c>
      <c r="E105" s="190">
        <f t="shared" si="78"/>
        <v>12</v>
      </c>
      <c r="F105" s="190" t="str">
        <f t="shared" si="129"/>
        <v>ALP.BSP.SOP.006.12</v>
      </c>
      <c r="G105" s="190" t="str">
        <f>IF(ISBLANK(N105),"",CONCATENATE(LEFT(F105,15),".",INDEX(Ref!A:A,MATCH(N105,Ref!$K$1:$K$333,0))))</f>
        <v/>
      </c>
      <c r="H105" s="180"/>
      <c r="I105" s="217"/>
      <c r="J105" s="180"/>
      <c r="K105" s="181"/>
      <c r="L105" s="182"/>
      <c r="M105" s="182"/>
      <c r="N105" s="183"/>
      <c r="O105" s="182"/>
      <c r="P105" s="182"/>
      <c r="Q105" s="184"/>
      <c r="R105" s="184"/>
      <c r="S105" s="185" t="str">
        <f>IFERROR(CLEAN(INDEX('Risk Matrix'!$H$7:$L$11,MATCH($Q105,'Risk Matrix'!$F$7:$F$11,0),MATCH($R105,'Risk Matrix'!$H$6:$L$6,0))),"")</f>
        <v/>
      </c>
      <c r="T105" s="85" t="str">
        <f>IF(LEFT($B105,7)=RIGHT('SOP template'!$B$1,7),_xlfn.NUMBERVALUE(RIGHT($S105,2)),"")</f>
        <v/>
      </c>
      <c r="U105" s="182"/>
      <c r="V105" s="182"/>
      <c r="W105" s="182"/>
      <c r="X105" s="182"/>
      <c r="Y105" s="182"/>
      <c r="Z105" s="182"/>
      <c r="AA105" s="186" t="str">
        <f>IFERROR(VLOOKUP(IFERROR(LEFT(S105,4),""),Ref!$AF$2:$AG$5,2,0),"")</f>
        <v/>
      </c>
      <c r="AB105" s="186"/>
      <c r="AC105" s="218"/>
      <c r="AD105" s="187" t="str">
        <f>IFERROR(VLOOKUP(AC105,'Training Matrix'!B$4:C$24,2,0),"")</f>
        <v/>
      </c>
      <c r="AE105" s="221"/>
      <c r="AF105" s="188" t="str">
        <f t="shared" si="84"/>
        <v/>
      </c>
      <c r="AG105" s="189" t="str">
        <f t="shared" ca="1" si="85"/>
        <v/>
      </c>
      <c r="AH105" s="50" t="str">
        <f t="shared" ref="AH105" si="131">IF(OR(AC105="",AE105=""),"",CONCATENATE(AC105,"_",K94,"_",L94))</f>
        <v/>
      </c>
    </row>
    <row r="106" spans="1:34" x14ac:dyDescent="0.25">
      <c r="A106" s="5" t="str">
        <f>IF(LEFT(F106,15)='SOP template'!$B$1,1,"")</f>
        <v/>
      </c>
      <c r="B106" s="190" t="str">
        <f t="shared" si="128"/>
        <v>SOP.006.13</v>
      </c>
      <c r="C106" s="190" t="str">
        <f t="shared" si="118"/>
        <v>SOP.006.</v>
      </c>
      <c r="D106" s="190" t="str">
        <f t="shared" si="119"/>
        <v>SOP.006.</v>
      </c>
      <c r="E106" s="190">
        <f t="shared" si="78"/>
        <v>13</v>
      </c>
      <c r="F106" s="190" t="str">
        <f t="shared" si="129"/>
        <v>ALP.BSP.SOP.006.13</v>
      </c>
      <c r="G106" s="190" t="str">
        <f>IF(ISBLANK(N106),"",CONCATENATE(LEFT(F106,15),".",INDEX(Ref!A:A,MATCH(N106,Ref!$K$1:$K$333,0))))</f>
        <v/>
      </c>
      <c r="H106" s="180"/>
      <c r="I106" s="217"/>
      <c r="J106" s="180"/>
      <c r="K106" s="181"/>
      <c r="L106" s="182"/>
      <c r="M106" s="182"/>
      <c r="N106" s="183"/>
      <c r="O106" s="182"/>
      <c r="P106" s="182"/>
      <c r="Q106" s="184"/>
      <c r="R106" s="184"/>
      <c r="S106" s="185" t="str">
        <f>IFERROR(CLEAN(INDEX('Risk Matrix'!$H$7:$L$11,MATCH($Q106,'Risk Matrix'!$F$7:$F$11,0),MATCH($R106,'Risk Matrix'!$H$6:$L$6,0))),"")</f>
        <v/>
      </c>
      <c r="T106" s="85" t="str">
        <f>IF(LEFT($B106,7)=RIGHT('SOP template'!$B$1,7),_xlfn.NUMBERVALUE(RIGHT($S106,2)),"")</f>
        <v/>
      </c>
      <c r="U106" s="182"/>
      <c r="V106" s="182"/>
      <c r="W106" s="182"/>
      <c r="X106" s="182"/>
      <c r="Y106" s="182"/>
      <c r="Z106" s="182"/>
      <c r="AA106" s="186" t="str">
        <f>IFERROR(VLOOKUP(IFERROR(LEFT(S106,4),""),Ref!$AF$2:$AG$5,2,0),"")</f>
        <v/>
      </c>
      <c r="AB106" s="186"/>
      <c r="AC106" s="218"/>
      <c r="AD106" s="187" t="str">
        <f>IFERROR(VLOOKUP(AC106,'Training Matrix'!B$4:C$24,2,0),"")</f>
        <v/>
      </c>
      <c r="AE106" s="221"/>
      <c r="AF106" s="188" t="str">
        <f t="shared" si="84"/>
        <v/>
      </c>
      <c r="AG106" s="189" t="str">
        <f t="shared" ca="1" si="85"/>
        <v/>
      </c>
      <c r="AH106" s="50" t="str">
        <f t="shared" ref="AH106" si="132">IF(OR(AC106="",AE106=""),"",CONCATENATE(AC106,"_",K94,"_",L94))</f>
        <v/>
      </c>
    </row>
    <row r="107" spans="1:34" x14ac:dyDescent="0.25">
      <c r="A107" s="5" t="str">
        <f>IF(LEFT(F107,15)='SOP template'!$B$1,1,"")</f>
        <v/>
      </c>
      <c r="B107" s="190" t="str">
        <f t="shared" si="128"/>
        <v>SOP.006.14</v>
      </c>
      <c r="C107" s="190" t="str">
        <f t="shared" si="118"/>
        <v>SOP.006.</v>
      </c>
      <c r="D107" s="190" t="str">
        <f t="shared" si="119"/>
        <v>SOP.006.</v>
      </c>
      <c r="E107" s="190">
        <f t="shared" si="78"/>
        <v>14</v>
      </c>
      <c r="F107" s="190" t="str">
        <f t="shared" si="129"/>
        <v>ALP.BSP.SOP.006.14</v>
      </c>
      <c r="G107" s="190" t="str">
        <f>IF(ISBLANK(N107),"",CONCATENATE(LEFT(F107,15),".",INDEX(Ref!A:A,MATCH(N107,Ref!$K$1:$K$333,0))))</f>
        <v/>
      </c>
      <c r="H107" s="180"/>
      <c r="I107" s="217"/>
      <c r="J107" s="180"/>
      <c r="K107" s="181"/>
      <c r="L107" s="182"/>
      <c r="M107" s="182"/>
      <c r="N107" s="183"/>
      <c r="O107" s="182"/>
      <c r="P107" s="182"/>
      <c r="Q107" s="184"/>
      <c r="R107" s="184"/>
      <c r="S107" s="185" t="str">
        <f>IFERROR(CLEAN(INDEX('Risk Matrix'!$H$7:$L$11,MATCH($Q107,'Risk Matrix'!$F$7:$F$11,0),MATCH($R107,'Risk Matrix'!$H$6:$L$6,0))),"")</f>
        <v/>
      </c>
      <c r="T107" s="85" t="str">
        <f>IF(LEFT($B107,7)=RIGHT('SOP template'!$B$1,7),_xlfn.NUMBERVALUE(RIGHT($S107,2)),"")</f>
        <v/>
      </c>
      <c r="U107" s="182"/>
      <c r="V107" s="182"/>
      <c r="W107" s="182"/>
      <c r="X107" s="182"/>
      <c r="Y107" s="182"/>
      <c r="Z107" s="182"/>
      <c r="AA107" s="186" t="str">
        <f>IFERROR(VLOOKUP(IFERROR(LEFT(S107,4),""),Ref!$AF$2:$AG$5,2,0),"")</f>
        <v/>
      </c>
      <c r="AB107" s="186"/>
      <c r="AC107" s="218"/>
      <c r="AD107" s="187" t="str">
        <f>IFERROR(VLOOKUP(AC107,'Training Matrix'!B$4:C$24,2,0),"")</f>
        <v/>
      </c>
      <c r="AE107" s="218"/>
      <c r="AF107" s="188" t="str">
        <f t="shared" si="84"/>
        <v/>
      </c>
      <c r="AG107" s="189" t="str">
        <f t="shared" ca="1" si="85"/>
        <v/>
      </c>
      <c r="AH107" s="50" t="str">
        <f t="shared" ref="AH107" si="133">IF(OR(AC107="",AE107=""),"",CONCATENATE(AC107,"_",K94,"_",L94))</f>
        <v/>
      </c>
    </row>
    <row r="108" spans="1:34" x14ac:dyDescent="0.25">
      <c r="A108" s="5" t="str">
        <f>IF(LEFT(F108,15)='SOP template'!$B$1,1,"")</f>
        <v/>
      </c>
      <c r="B108" s="190" t="str">
        <f t="shared" si="128"/>
        <v>SOP.006.15</v>
      </c>
      <c r="C108" s="190" t="str">
        <f t="shared" si="118"/>
        <v>SOP.006.</v>
      </c>
      <c r="D108" s="190" t="str">
        <f t="shared" si="119"/>
        <v>SOP.006.</v>
      </c>
      <c r="E108" s="190">
        <f t="shared" si="78"/>
        <v>15</v>
      </c>
      <c r="F108" s="190" t="str">
        <f t="shared" si="129"/>
        <v>ALP.BSP.SOP.006.15</v>
      </c>
      <c r="G108" s="190" t="str">
        <f>IF(ISBLANK(N108),"",CONCATENATE(LEFT(F108,15),".",INDEX(Ref!A:A,MATCH(N108,Ref!$K$1:$K$333,0))))</f>
        <v/>
      </c>
      <c r="H108" s="180"/>
      <c r="I108" s="217"/>
      <c r="J108" s="180"/>
      <c r="K108" s="181"/>
      <c r="L108" s="182"/>
      <c r="M108" s="182"/>
      <c r="N108" s="183"/>
      <c r="O108" s="182"/>
      <c r="P108" s="182"/>
      <c r="Q108" s="184"/>
      <c r="R108" s="184"/>
      <c r="S108" s="185" t="str">
        <f>IFERROR(CLEAN(INDEX('Risk Matrix'!$H$7:$L$11,MATCH($Q108,'Risk Matrix'!$F$7:$F$11,0),MATCH($R108,'Risk Matrix'!$H$6:$L$6,0))),"")</f>
        <v/>
      </c>
      <c r="T108" s="85" t="str">
        <f>IF(LEFT($B108,7)=RIGHT('SOP template'!$B$1,7),_xlfn.NUMBERVALUE(RIGHT($S108,2)),"")</f>
        <v/>
      </c>
      <c r="U108" s="182"/>
      <c r="V108" s="182"/>
      <c r="W108" s="182"/>
      <c r="X108" s="182"/>
      <c r="Y108" s="182"/>
      <c r="Z108" s="182"/>
      <c r="AA108" s="186" t="str">
        <f>IFERROR(VLOOKUP(IFERROR(LEFT(S108,4),""),Ref!$AF$2:$AG$5,2,0),"")</f>
        <v/>
      </c>
      <c r="AB108" s="186"/>
      <c r="AC108" s="218"/>
      <c r="AD108" s="187" t="str">
        <f>IFERROR(VLOOKUP(AC108,'Training Matrix'!B$4:C$24,2,0),"")</f>
        <v/>
      </c>
      <c r="AE108" s="218"/>
      <c r="AF108" s="188" t="str">
        <f t="shared" si="84"/>
        <v/>
      </c>
      <c r="AG108" s="189" t="str">
        <f t="shared" ca="1" si="85"/>
        <v/>
      </c>
      <c r="AH108" s="50" t="str">
        <f t="shared" ref="AH108" si="134">IF(OR(AC108="",AE108=""),"",CONCATENATE(AC108,"_",K94,"_",L94))</f>
        <v/>
      </c>
    </row>
    <row r="109" spans="1:34" x14ac:dyDescent="0.25">
      <c r="A109" s="5" t="str">
        <f>IF(LEFT(F109,15)='SOP template'!$B$1,1,"")</f>
        <v/>
      </c>
      <c r="B109" s="190" t="str">
        <f t="shared" si="128"/>
        <v>SOP.006.16</v>
      </c>
      <c r="C109" s="190" t="str">
        <f t="shared" si="118"/>
        <v>SOP.006.</v>
      </c>
      <c r="D109" s="190" t="str">
        <f t="shared" si="119"/>
        <v>SOP.006.</v>
      </c>
      <c r="E109" s="190">
        <f t="shared" si="78"/>
        <v>16</v>
      </c>
      <c r="F109" s="190" t="str">
        <f t="shared" si="129"/>
        <v>ALP.BSP.SOP.006.16</v>
      </c>
      <c r="G109" s="190" t="str">
        <f>IF(ISBLANK(N109),"",CONCATENATE(LEFT(F109,15),".",INDEX(Ref!A:A,MATCH(N109,Ref!$K$1:$K$333,0))))</f>
        <v/>
      </c>
      <c r="H109" s="180"/>
      <c r="I109" s="217"/>
      <c r="J109" s="180"/>
      <c r="K109" s="181"/>
      <c r="L109" s="182"/>
      <c r="M109" s="182"/>
      <c r="N109" s="183"/>
      <c r="O109" s="182"/>
      <c r="P109" s="182"/>
      <c r="Q109" s="184"/>
      <c r="R109" s="184"/>
      <c r="S109" s="185" t="str">
        <f>IFERROR(CLEAN(INDEX('Risk Matrix'!$H$7:$L$11,MATCH($Q109,'Risk Matrix'!$F$7:$F$11,0),MATCH($R109,'Risk Matrix'!$H$6:$L$6,0))),"")</f>
        <v/>
      </c>
      <c r="T109" s="85" t="str">
        <f>IF(LEFT($B109,7)=RIGHT('SOP template'!$B$1,7),_xlfn.NUMBERVALUE(RIGHT($S109,2)),"")</f>
        <v/>
      </c>
      <c r="U109" s="182"/>
      <c r="V109" s="182"/>
      <c r="W109" s="182"/>
      <c r="X109" s="182"/>
      <c r="Y109" s="182"/>
      <c r="Z109" s="182"/>
      <c r="AA109" s="186" t="str">
        <f>IFERROR(VLOOKUP(IFERROR(LEFT(S109,4),""),Ref!$AF$2:$AG$5,2,0),"")</f>
        <v/>
      </c>
      <c r="AB109" s="186"/>
      <c r="AC109" s="218"/>
      <c r="AD109" s="187" t="str">
        <f>IFERROR(VLOOKUP(AC109,'Training Matrix'!B$4:C$24,2,0),"")</f>
        <v/>
      </c>
      <c r="AE109" s="218"/>
      <c r="AF109" s="188" t="str">
        <f t="shared" si="84"/>
        <v/>
      </c>
      <c r="AG109" s="189" t="str">
        <f t="shared" ca="1" si="85"/>
        <v/>
      </c>
      <c r="AH109" s="50" t="str">
        <f t="shared" ref="AH109" si="135">IF(OR(AC109="",AE109=""),"",CONCATENATE(AC109,"_",K94,"_",L94))</f>
        <v/>
      </c>
    </row>
    <row r="110" spans="1:34" x14ac:dyDescent="0.25">
      <c r="A110" s="5" t="str">
        <f>IF(LEFT(F110,15)='SOP template'!$B$1,1,"")</f>
        <v/>
      </c>
      <c r="B110" s="190" t="str">
        <f t="shared" si="128"/>
        <v>SOP.006.17</v>
      </c>
      <c r="C110" s="190" t="str">
        <f t="shared" si="118"/>
        <v>SOP.006.</v>
      </c>
      <c r="D110" s="190" t="str">
        <f t="shared" si="119"/>
        <v>SOP.006.</v>
      </c>
      <c r="E110" s="190">
        <f t="shared" si="78"/>
        <v>17</v>
      </c>
      <c r="F110" s="190" t="str">
        <f t="shared" si="129"/>
        <v>ALP.BSP.SOP.006.17</v>
      </c>
      <c r="G110" s="190" t="str">
        <f>IF(ISBLANK(N110),"",CONCATENATE(LEFT(F110,15),".",INDEX(Ref!A:A,MATCH(N110,Ref!$K$1:$K$333,0))))</f>
        <v/>
      </c>
      <c r="H110" s="180"/>
      <c r="I110" s="217"/>
      <c r="J110" s="180"/>
      <c r="K110" s="181"/>
      <c r="L110" s="182"/>
      <c r="M110" s="182"/>
      <c r="N110" s="183"/>
      <c r="O110" s="182"/>
      <c r="P110" s="182"/>
      <c r="Q110" s="184"/>
      <c r="R110" s="184"/>
      <c r="S110" s="185" t="str">
        <f>IFERROR(CLEAN(INDEX('Risk Matrix'!$H$7:$L$11,MATCH($Q110,'Risk Matrix'!$F$7:$F$11,0),MATCH($R110,'Risk Matrix'!$H$6:$L$6,0))),"")</f>
        <v/>
      </c>
      <c r="T110" s="85" t="str">
        <f>IF(LEFT($B110,7)=RIGHT('SOP template'!$B$1,7),_xlfn.NUMBERVALUE(RIGHT($S110,2)),"")</f>
        <v/>
      </c>
      <c r="U110" s="182"/>
      <c r="V110" s="182"/>
      <c r="W110" s="182"/>
      <c r="X110" s="182"/>
      <c r="Y110" s="182"/>
      <c r="Z110" s="182"/>
      <c r="AA110" s="186" t="str">
        <f>IFERROR(VLOOKUP(IFERROR(LEFT(S110,4),""),Ref!$AF$2:$AG$5,2,0),"")</f>
        <v/>
      </c>
      <c r="AB110" s="186"/>
      <c r="AC110" s="218"/>
      <c r="AD110" s="187" t="str">
        <f>IFERROR(VLOOKUP(AC110,'Training Matrix'!B$4:C$24,2,0),"")</f>
        <v/>
      </c>
      <c r="AE110" s="218"/>
      <c r="AF110" s="188" t="str">
        <f t="shared" si="84"/>
        <v/>
      </c>
      <c r="AG110" s="189" t="str">
        <f t="shared" ca="1" si="85"/>
        <v/>
      </c>
      <c r="AH110" s="50" t="str">
        <f t="shared" ref="AH110" si="136">IF(OR(AC110="",AE110=""),"",CONCATENATE(AC110,"_",K94,"_",L94))</f>
        <v/>
      </c>
    </row>
    <row r="111" spans="1:34" x14ac:dyDescent="0.25">
      <c r="A111" s="5" t="str">
        <f>IF(LEFT(F111,15)='SOP template'!$B$1,1,"")</f>
        <v/>
      </c>
      <c r="B111" s="190" t="str">
        <f t="shared" si="128"/>
        <v>SOP.006.18</v>
      </c>
      <c r="C111" s="190" t="str">
        <f t="shared" si="118"/>
        <v>SOP.006.</v>
      </c>
      <c r="D111" s="190" t="str">
        <f t="shared" si="119"/>
        <v>SOP.006.</v>
      </c>
      <c r="E111" s="190">
        <f t="shared" si="78"/>
        <v>18</v>
      </c>
      <c r="F111" s="190" t="str">
        <f t="shared" si="129"/>
        <v>ALP.BSP.SOP.006.18</v>
      </c>
      <c r="G111" s="190" t="str">
        <f>IF(ISBLANK(N111),"",CONCATENATE(LEFT(F111,15),".",INDEX(Ref!A:A,MATCH(N111,Ref!$K$1:$K$333,0))))</f>
        <v/>
      </c>
      <c r="H111" s="180"/>
      <c r="I111" s="217"/>
      <c r="J111" s="180"/>
      <c r="K111" s="181"/>
      <c r="L111" s="182"/>
      <c r="M111" s="182"/>
      <c r="N111" s="183"/>
      <c r="O111" s="182"/>
      <c r="P111" s="182"/>
      <c r="Q111" s="184"/>
      <c r="R111" s="184"/>
      <c r="S111" s="185" t="str">
        <f>IFERROR(CLEAN(INDEX('Risk Matrix'!$H$7:$L$11,MATCH($Q111,'Risk Matrix'!$F$7:$F$11,0),MATCH($R111,'Risk Matrix'!$H$6:$L$6,0))),"")</f>
        <v/>
      </c>
      <c r="T111" s="85" t="str">
        <f>IF(LEFT($B111,7)=RIGHT('SOP template'!$B$1,7),_xlfn.NUMBERVALUE(RIGHT($S111,2)),"")</f>
        <v/>
      </c>
      <c r="U111" s="182"/>
      <c r="V111" s="182"/>
      <c r="W111" s="182"/>
      <c r="X111" s="182"/>
      <c r="Y111" s="182"/>
      <c r="Z111" s="182"/>
      <c r="AA111" s="186" t="str">
        <f>IFERROR(VLOOKUP(IFERROR(LEFT(S111,4),""),Ref!$AF$2:$AG$5,2,0),"")</f>
        <v/>
      </c>
      <c r="AB111" s="186"/>
      <c r="AC111" s="218"/>
      <c r="AD111" s="187" t="str">
        <f>IFERROR(VLOOKUP(AC111,'Training Matrix'!B$4:C$24,2,0),"")</f>
        <v/>
      </c>
      <c r="AE111" s="218"/>
      <c r="AF111" s="188" t="str">
        <f t="shared" si="84"/>
        <v/>
      </c>
      <c r="AG111" s="189" t="str">
        <f t="shared" ca="1" si="85"/>
        <v/>
      </c>
      <c r="AH111" s="50" t="str">
        <f t="shared" ref="AH111" si="137">IF(OR(AC111="",AE111=""),"",CONCATENATE(AC111,"_",K94,"_",L94))</f>
        <v/>
      </c>
    </row>
    <row r="112" spans="1:34" ht="105" x14ac:dyDescent="0.25">
      <c r="A112" s="5" t="str">
        <f>IF(LEFT(F112,15)='SOP template'!$B$1,1,"")</f>
        <v/>
      </c>
      <c r="B112" s="179" t="str">
        <f t="shared" ref="B112" si="138">IF(ISBLANK($K112),CONCATENATE($B$2,".",TEXT(J112,"000"),".",$E112),CONCATENATE(RIGHT($K112,7),".1"))</f>
        <v>SOP.007.1</v>
      </c>
      <c r="C112" s="179" t="str">
        <f>IF(ISBLANK($K112),CONCATENATE(LEFT($B65,8),IF($E112=1,1.1,IF($E112=2,1.4,IF($E112=3,2,IF($E112=4,2.4,IF($E112=5,3,IF($E112=6,3.4,IF($E112=7,4,IF($E112=8,4.4,IF($E112=9,5,IF($E112=10,5.4,IF($E112=11,6,IF($E112=12,6.4,""))))))))))))),CONCATENATE(RIGHT($K112,7),".1"))</f>
        <v>SOP.007.1</v>
      </c>
      <c r="D112" s="179" t="str">
        <f>IF(ISBLANK($K112),CONCATENATE(LEFT($B65,8),IF($E112=1,1,IF($E112=2,1.3,IF($E112=3,1.5,IF($E112=4,2,IF($E112=5,2.3,IF($E112=6,2.5,IF($E112=7,3,IF($E112=8,3.3,IF($E112=9,3.5,IF($E112=10,4,IF($E112=11,4.3,IF($E112=12,4.5,""))))))))))))),CONCATENATE(RIGHT($K112,7),".1"))</f>
        <v>SOP.007.1</v>
      </c>
      <c r="E112" s="179">
        <f t="shared" si="78"/>
        <v>1</v>
      </c>
      <c r="F112" s="179" t="str">
        <f t="shared" ref="F112" si="139">K112&amp;"."&amp;TEXT(E112,"00")</f>
        <v>ALP.BSP.SOP.007.01</v>
      </c>
      <c r="G112" s="179" t="str">
        <f>IF(ISBLANK(N112),"",CONCATENATE(LEFT(F112,15),".",INDEX(Ref!A:A,MATCH(N112,Ref!$K$1:$K$333,0))))</f>
        <v>ALP.BSP.SOP.007.1</v>
      </c>
      <c r="H112" s="217" t="s">
        <v>394</v>
      </c>
      <c r="I112" s="217" t="s">
        <v>275</v>
      </c>
      <c r="J112" s="180">
        <v>7</v>
      </c>
      <c r="K112" s="181" t="str">
        <f>IFERROR(CONCATENATE(INDEX(Ref!$Z$2:$Z$8,MATCH(H112,Ref!$AA$2:$AA$8,0)),".",I112,".SOP.",TEXT(J112,"000")),CONCATENATE(H112,".",I112,".SOP.",TEXT(J112,"000")))</f>
        <v>ALP.BSP.SOP.007</v>
      </c>
      <c r="L112" s="191" t="s">
        <v>634</v>
      </c>
      <c r="M112" s="182" t="s">
        <v>635</v>
      </c>
      <c r="N112" s="183" t="s">
        <v>117</v>
      </c>
      <c r="O112" s="182" t="s">
        <v>411</v>
      </c>
      <c r="P112" s="182" t="s">
        <v>636</v>
      </c>
      <c r="Q112" s="184" t="s">
        <v>89</v>
      </c>
      <c r="R112" s="184" t="s">
        <v>90</v>
      </c>
      <c r="S112" s="185" t="str">
        <f>IFERROR(CLEAN(INDEX('Risk Matrix'!$H$7:$L$11,MATCH($Q112,'Risk Matrix'!$F$7:$F$11,0),MATCH($R112,'Risk Matrix'!$H$6:$L$6,0))),"")</f>
        <v>Medium 2</v>
      </c>
      <c r="T112" s="85" t="str">
        <f>IF(LEFT($B112,7)=RIGHT('SOP template'!$B$1,7),_xlfn.NUMBERVALUE(RIGHT($S112,2)),"")</f>
        <v/>
      </c>
      <c r="U112" s="182" t="s">
        <v>605</v>
      </c>
      <c r="V112" s="182" t="s">
        <v>606</v>
      </c>
      <c r="W112" s="182" t="s">
        <v>607</v>
      </c>
      <c r="X112" s="182" t="s">
        <v>608</v>
      </c>
      <c r="Y112" s="182" t="s">
        <v>609</v>
      </c>
      <c r="Z112" s="182" t="s">
        <v>610</v>
      </c>
      <c r="AA112" s="186">
        <f>IFERROR(VLOOKUP(IFERROR(LEFT(S112,4),""),Ref!$AF$2:$AG$5,2,0),"")</f>
        <v>24</v>
      </c>
      <c r="AB112" s="186">
        <f>MIN($AA$112:$AA$129)</f>
        <v>24</v>
      </c>
      <c r="AC112" s="218" t="s">
        <v>289</v>
      </c>
      <c r="AD112" s="187" t="str">
        <f>IFERROR(VLOOKUP(AC112,'Training Matrix'!B$4:C$24,2,0),"")</f>
        <v>Dock Manager</v>
      </c>
      <c r="AE112" s="221">
        <v>45792</v>
      </c>
      <c r="AF112" s="188">
        <f t="shared" si="84"/>
        <v>46522</v>
      </c>
      <c r="AG112" s="189" t="str">
        <f t="shared" ca="1" si="85"/>
        <v>Current</v>
      </c>
      <c r="AH112" s="50" t="str">
        <f t="shared" ref="AH112" si="140">IF(OR(AC112="",AE112=""),"",CONCATENATE(AC112,"_",K112,"_",L112))</f>
        <v>Person 1_ALP.BSP.SOP.007_Sharps use and disposal</v>
      </c>
    </row>
    <row r="113" spans="1:34" ht="60" x14ac:dyDescent="0.25">
      <c r="A113" s="5" t="str">
        <f>IF(LEFT(F113,15)='SOP template'!$B$1,1,"")</f>
        <v/>
      </c>
      <c r="B113" s="190" t="str">
        <f t="shared" ref="B113" si="141">CONCATENATE(LEFT(B112,8),E113)</f>
        <v>SOP.007.2</v>
      </c>
      <c r="C113" s="190" t="str">
        <f>IF(ISBLANK($K113),CONCATENATE(LEFT($B112,8),IF($E113=1,1.1,IF($E113=2,1.4,IF($E113=3,2,IF($E113=4,2.4,IF($E113=5,3,IF($E113=6,3.4,IF($E113=7,4,IF($E113=8,4.4,IF($E113=9,5,IF($E113=10,5.4,IF($E113=11,6,IF($E113=12,6.4,""))))))))))))),CONCATENATE(RIGHT($K113,7),".1"))</f>
        <v>SOP.007.1.4</v>
      </c>
      <c r="D113" s="190" t="str">
        <f>IF(ISBLANK($K113),CONCATENATE(LEFT($B112,8),IF($E113=1,1,IF($E113=2,1.3,IF($E113=3,1.5,IF($E113=4,2,IF($E113=5,2.3,IF($E113=6,2.5,IF($E113=7,3,IF($E113=8,3.3,IF($E113=9,3.5,IF($E113=10,4,IF($E113=11,4.3,IF($E113=12,4.5,""))))))))))))),CONCATENATE(RIGHT($K113,7),".1"))</f>
        <v>SOP.007.1.3</v>
      </c>
      <c r="E113" s="190">
        <f t="shared" si="78"/>
        <v>2</v>
      </c>
      <c r="F113" s="190" t="str">
        <f t="shared" ref="F113" si="142">IF(K113=0,LEFT(F112,16)&amp;TEXT(E113,"00"),K113&amp;"."&amp;TEXT(E113,"00"))</f>
        <v>ALP.BSP.SOP.007.02</v>
      </c>
      <c r="G113" s="190" t="str">
        <f>IF(ISBLANK(N113),"",CONCATENATE(LEFT(F113,15),".",INDEX(Ref!A:A,MATCH(N113,Ref!$K$1:$K$333,0))))</f>
        <v>ALP.BSP.SOP.007.20</v>
      </c>
      <c r="H113" s="180"/>
      <c r="I113" s="217"/>
      <c r="J113" s="180"/>
      <c r="K113" s="181"/>
      <c r="L113" s="182"/>
      <c r="M113" s="182"/>
      <c r="N113" s="183" t="s">
        <v>133</v>
      </c>
      <c r="O113" s="182" t="s">
        <v>498</v>
      </c>
      <c r="P113" s="182" t="s">
        <v>499</v>
      </c>
      <c r="Q113" s="184" t="s">
        <v>92</v>
      </c>
      <c r="R113" s="184" t="s">
        <v>90</v>
      </c>
      <c r="S113" s="185" t="str">
        <f>IFERROR(CLEAN(INDEX('Risk Matrix'!$H$7:$L$11,MATCH($Q113,'Risk Matrix'!$F$7:$F$11,0),MATCH($R113,'Risk Matrix'!$H$6:$L$6,0))),"")</f>
        <v>Medium 2</v>
      </c>
      <c r="T113" s="85" t="str">
        <f>IF(LEFT($B113,7)=RIGHT('SOP template'!$B$1,7),_xlfn.NUMBERVALUE(RIGHT($S113,2)),"")</f>
        <v/>
      </c>
      <c r="U113" s="182" t="s">
        <v>611</v>
      </c>
      <c r="V113" s="182" t="s">
        <v>612</v>
      </c>
      <c r="W113" s="182" t="s">
        <v>613</v>
      </c>
      <c r="X113" s="182" t="s">
        <v>614</v>
      </c>
      <c r="Y113" s="182" t="s">
        <v>615</v>
      </c>
      <c r="Z113" s="182" t="s">
        <v>616</v>
      </c>
      <c r="AA113" s="186">
        <f>IFERROR(VLOOKUP(IFERROR(LEFT(S113,4),""),Ref!$AF$2:$AG$5,2,0),"")</f>
        <v>24</v>
      </c>
      <c r="AB113" s="186"/>
      <c r="AC113" s="218" t="s">
        <v>290</v>
      </c>
      <c r="AD113" s="187" t="str">
        <f>IFERROR(VLOOKUP(AC113,'Training Matrix'!B$4:C$24,2,0),"")</f>
        <v>WHS Team member</v>
      </c>
      <c r="AE113" s="221">
        <v>45792</v>
      </c>
      <c r="AF113" s="188">
        <f t="shared" si="84"/>
        <v>46522</v>
      </c>
      <c r="AG113" s="189" t="str">
        <f t="shared" ca="1" si="85"/>
        <v>Current</v>
      </c>
      <c r="AH113" s="50" t="str">
        <f t="shared" ref="AH113" si="143">IF(OR(AC113="",AE113=""),"",CONCATENATE(AC113,"_",K112,"_",L112))</f>
        <v>Person 2_ALP.BSP.SOP.007_Sharps use and disposal</v>
      </c>
    </row>
    <row r="114" spans="1:34" ht="45" x14ac:dyDescent="0.25">
      <c r="A114" s="5" t="str">
        <f>IF(LEFT(F114,15)='SOP template'!$B$1,1,"")</f>
        <v/>
      </c>
      <c r="B114" s="190" t="str">
        <f t="shared" si="16"/>
        <v>SOP.007.3</v>
      </c>
      <c r="C114" s="190" t="str">
        <f t="shared" ref="C114:C129" si="144">IF(ISBLANK($K114),CONCATENATE(LEFT($B113,8),IF($E114=1,1.1,IF($E114=2,1.4,IF($E114=3,2,IF($E114=4,2.4,IF($E114=5,3,IF($E114=6,3.4,IF($E114=7,4,IF($E114=8,4.4,IF($E114=9,5,IF($E114=10,5.4,IF($E114=11,6,IF($E114=12,6.4,""))))))))))))),CONCATENATE(RIGHT($K114,7),".1"))</f>
        <v>SOP.007.2</v>
      </c>
      <c r="D114" s="190" t="str">
        <f t="shared" ref="D114:D129" si="145">IF(ISBLANK($K114),CONCATENATE(LEFT($B113,8),IF($E114=1,1,IF($E114=2,1.3,IF($E114=3,1.5,IF($E114=4,2,IF($E114=5,2.3,IF($E114=6,2.5,IF($E114=7,3,IF($E114=8,3.3,IF($E114=9,3.5,IF($E114=10,4,IF($E114=11,4.3,IF($E114=12,4.5,""))))))))))))),CONCATENATE(RIGHT($K114,7),".1"))</f>
        <v>SOP.007.1.5</v>
      </c>
      <c r="E114" s="190">
        <f t="shared" si="78"/>
        <v>3</v>
      </c>
      <c r="F114" s="190" t="str">
        <f t="shared" si="18"/>
        <v>ALP.BSP.SOP.007.03</v>
      </c>
      <c r="G114" s="190" t="str">
        <f>IF(ISBLANK(N114),"",CONCATENATE(LEFT(F114,15),".",INDEX(Ref!A:A,MATCH(N114,Ref!$K$1:$K$333,0))))</f>
        <v>ALP.BSP.SOP.007.2</v>
      </c>
      <c r="H114" s="180"/>
      <c r="I114" s="217"/>
      <c r="J114" s="180"/>
      <c r="K114" s="181"/>
      <c r="L114" s="182"/>
      <c r="M114" s="182"/>
      <c r="N114" s="183" t="s">
        <v>94</v>
      </c>
      <c r="O114" s="182" t="s">
        <v>417</v>
      </c>
      <c r="P114" s="182" t="s">
        <v>418</v>
      </c>
      <c r="Q114" s="184" t="s">
        <v>89</v>
      </c>
      <c r="R114" s="184" t="s">
        <v>91</v>
      </c>
      <c r="S114" s="185" t="str">
        <f>IFERROR(CLEAN(INDEX('Risk Matrix'!$H$7:$L$11,MATCH($Q114,'Risk Matrix'!$F$7:$F$11,0),MATCH($R114,'Risk Matrix'!$H$6:$L$6,0))),"")</f>
        <v>Low 1</v>
      </c>
      <c r="T114" s="85" t="str">
        <f>IF(LEFT($B114,7)=RIGHT('SOP template'!$B$1,7),_xlfn.NUMBERVALUE(RIGHT($S114,2)),"")</f>
        <v/>
      </c>
      <c r="U114" s="182" t="s">
        <v>617</v>
      </c>
      <c r="V114" s="182" t="s">
        <v>618</v>
      </c>
      <c r="W114" s="182" t="s">
        <v>619</v>
      </c>
      <c r="X114" s="182" t="s">
        <v>620</v>
      </c>
      <c r="Y114" s="182" t="s">
        <v>621</v>
      </c>
      <c r="Z114" s="182" t="s">
        <v>622</v>
      </c>
      <c r="AA114" s="186">
        <f>IFERROR(VLOOKUP(IFERROR(LEFT(S114,4),""),Ref!$AF$2:$AG$5,2,0),"")</f>
        <v>36</v>
      </c>
      <c r="AB114" s="186"/>
      <c r="AC114" s="218" t="s">
        <v>167</v>
      </c>
      <c r="AD114" s="187" t="str">
        <f>IFERROR(VLOOKUP(AC114,'Training Matrix'!B$4:C$24,2,0),"")</f>
        <v>Bioscience Manager</v>
      </c>
      <c r="AE114" s="221">
        <v>45792</v>
      </c>
      <c r="AF114" s="188">
        <f t="shared" si="84"/>
        <v>46522</v>
      </c>
      <c r="AG114" s="189" t="str">
        <f t="shared" ca="1" si="85"/>
        <v>Current</v>
      </c>
      <c r="AH114" s="50" t="str">
        <f t="shared" ref="AH114" si="146">IF(OR(AC114="",AE114=""),"",CONCATENATE(AC114,"_",K112,"_",L112))</f>
        <v>Person 3_ALP.BSP.SOP.007_Sharps use and disposal</v>
      </c>
    </row>
    <row r="115" spans="1:34" ht="60" x14ac:dyDescent="0.25">
      <c r="A115" s="5" t="str">
        <f>IF(LEFT(F115,15)='SOP template'!$B$1,1,"")</f>
        <v/>
      </c>
      <c r="B115" s="190" t="str">
        <f t="shared" si="16"/>
        <v>SOP.007.4</v>
      </c>
      <c r="C115" s="190" t="str">
        <f t="shared" si="144"/>
        <v>SOP.007.2.4</v>
      </c>
      <c r="D115" s="190" t="str">
        <f>IF(ISBLANK($K115),CONCATENATE(LEFT($B114,8),IF($E115=1,1,IF($E115=2,1.3,IF($E115=3,1.5,IF($E115=4,2,IF($E115=5,2.3,IF($E115=6,2.5,IF($E115=7,3,IF($E115=8,3.3,IF($E115=9,3.5,IF($E115=10,4,IF($E115=11,4.3,IF($E115=12,4.5,""))))))))))))),CONCATENATE(RIGHT($K115,7),".1"))</f>
        <v>SOP.007.2</v>
      </c>
      <c r="E115" s="190">
        <f t="shared" si="78"/>
        <v>4</v>
      </c>
      <c r="F115" s="190" t="str">
        <f t="shared" si="18"/>
        <v>ALP.BSP.SOP.007.04</v>
      </c>
      <c r="G115" s="190" t="str">
        <f>IF(ISBLANK(N115),"",CONCATENATE(LEFT(F115,15),".",INDEX(Ref!A:A,MATCH(N115,Ref!$K$1:$K$333,0))))</f>
        <v>ALP.BSP.SOP.007.7</v>
      </c>
      <c r="H115" s="180"/>
      <c r="I115" s="217"/>
      <c r="J115" s="180"/>
      <c r="K115" s="181"/>
      <c r="L115" s="182"/>
      <c r="M115" s="182"/>
      <c r="N115" s="183" t="s">
        <v>88</v>
      </c>
      <c r="O115" s="182" t="s">
        <v>548</v>
      </c>
      <c r="P115" s="182" t="s">
        <v>549</v>
      </c>
      <c r="Q115" s="184" t="s">
        <v>89</v>
      </c>
      <c r="R115" s="184" t="s">
        <v>91</v>
      </c>
      <c r="S115" s="185" t="str">
        <f>IFERROR(CLEAN(INDEX('Risk Matrix'!$H$7:$L$11,MATCH($Q115,'Risk Matrix'!$F$7:$F$11,0),MATCH($R115,'Risk Matrix'!$H$6:$L$6,0))),"")</f>
        <v>Low 1</v>
      </c>
      <c r="T115" s="85" t="str">
        <f>IF(LEFT($B115,7)=RIGHT('SOP template'!$B$1,7),_xlfn.NUMBERVALUE(RIGHT($S115,2)),"")</f>
        <v/>
      </c>
      <c r="U115" s="182" t="s">
        <v>494</v>
      </c>
      <c r="V115" s="182" t="s">
        <v>623</v>
      </c>
      <c r="W115" s="182" t="s">
        <v>624</v>
      </c>
      <c r="X115" s="182" t="s">
        <v>625</v>
      </c>
      <c r="Y115" s="182" t="s">
        <v>626</v>
      </c>
      <c r="Z115" s="182" t="s">
        <v>627</v>
      </c>
      <c r="AA115" s="186">
        <f>IFERROR(VLOOKUP(IFERROR(LEFT(S115,4),""),Ref!$AF$2:$AG$5,2,0),"")</f>
        <v>36</v>
      </c>
      <c r="AB115" s="186"/>
      <c r="AC115" s="218" t="s">
        <v>168</v>
      </c>
      <c r="AD115" s="187" t="str">
        <f>IFERROR(VLOOKUP(AC115,'Training Matrix'!B$4:C$24,2,0),"")</f>
        <v>Collection Manager</v>
      </c>
      <c r="AE115" s="221">
        <v>45792</v>
      </c>
      <c r="AF115" s="188">
        <f t="shared" si="84"/>
        <v>46522</v>
      </c>
      <c r="AG115" s="189" t="str">
        <f t="shared" ca="1" si="85"/>
        <v>Current</v>
      </c>
      <c r="AH115" s="50" t="str">
        <f t="shared" ref="AH115" si="147">IF(OR(AC115="",AE115=""),"",CONCATENATE(AC115,"_",K112,"_",L112))</f>
        <v>Person 4_ALP.BSP.SOP.007_Sharps use and disposal</v>
      </c>
    </row>
    <row r="116" spans="1:34" ht="45" x14ac:dyDescent="0.25">
      <c r="A116" s="5" t="str">
        <f>IF(LEFT(F116,15)='SOP template'!$B$1,1,"")</f>
        <v/>
      </c>
      <c r="B116" s="190" t="str">
        <f t="shared" si="16"/>
        <v>SOP.007.5</v>
      </c>
      <c r="C116" s="190" t="str">
        <f t="shared" si="144"/>
        <v>SOP.007.3</v>
      </c>
      <c r="D116" s="190" t="str">
        <f t="shared" si="145"/>
        <v>SOP.007.2.3</v>
      </c>
      <c r="E116" s="190">
        <f t="shared" si="78"/>
        <v>5</v>
      </c>
      <c r="F116" s="190" t="str">
        <f t="shared" si="18"/>
        <v>ALP.BSP.SOP.007.05</v>
      </c>
      <c r="G116" s="190" t="str">
        <f>IF(ISBLANK(N116),"",CONCATENATE(LEFT(F116,15),".",INDEX(Ref!A:A,MATCH(N116,Ref!$K$1:$K$333,0))))</f>
        <v>ALP.BSP.SOP.007.11</v>
      </c>
      <c r="H116" s="180"/>
      <c r="I116" s="217"/>
      <c r="J116" s="180"/>
      <c r="K116" s="181"/>
      <c r="L116" s="182"/>
      <c r="M116" s="182"/>
      <c r="N116" s="183" t="s">
        <v>95</v>
      </c>
      <c r="O116" s="182" t="s">
        <v>239</v>
      </c>
      <c r="P116" s="182" t="s">
        <v>637</v>
      </c>
      <c r="Q116" s="184" t="s">
        <v>92</v>
      </c>
      <c r="R116" s="184" t="s">
        <v>90</v>
      </c>
      <c r="S116" s="185" t="str">
        <f>IFERROR(CLEAN(INDEX('Risk Matrix'!$H$7:$L$11,MATCH($Q116,'Risk Matrix'!$F$7:$F$11,0),MATCH($R116,'Risk Matrix'!$H$6:$L$6,0))),"")</f>
        <v>Medium 2</v>
      </c>
      <c r="T116" s="85" t="str">
        <f>IF(LEFT($B116,7)=RIGHT('SOP template'!$B$1,7),_xlfn.NUMBERVALUE(RIGHT($S116,2)),"")</f>
        <v/>
      </c>
      <c r="U116" s="182" t="s">
        <v>589</v>
      </c>
      <c r="V116" s="182"/>
      <c r="W116" s="182"/>
      <c r="X116" s="182" t="s">
        <v>628</v>
      </c>
      <c r="Y116" s="182" t="s">
        <v>629</v>
      </c>
      <c r="Z116" s="182"/>
      <c r="AA116" s="186">
        <f>IFERROR(VLOOKUP(IFERROR(LEFT(S116,4),""),Ref!$AF$2:$AG$5,2,0),"")</f>
        <v>24</v>
      </c>
      <c r="AB116" s="186"/>
      <c r="AC116" s="218" t="s">
        <v>169</v>
      </c>
      <c r="AD116" s="187" t="str">
        <f>IFERROR(VLOOKUP(AC116,'Training Matrix'!B$4:C$24,2,0),"")</f>
        <v>Technician</v>
      </c>
      <c r="AE116" s="221">
        <v>45792</v>
      </c>
      <c r="AF116" s="188">
        <f t="shared" si="84"/>
        <v>46522</v>
      </c>
      <c r="AG116" s="189" t="str">
        <f t="shared" ca="1" si="85"/>
        <v>Current</v>
      </c>
      <c r="AH116" s="50" t="str">
        <f t="shared" ref="AH116" si="148">IF(OR(AC116="",AE116=""),"",CONCATENATE(AC116,"_",K112,"_",L112))</f>
        <v>Person 5_ALP.BSP.SOP.007_Sharps use and disposal</v>
      </c>
    </row>
    <row r="117" spans="1:34" ht="45" x14ac:dyDescent="0.25">
      <c r="A117" s="5" t="str">
        <f>IF(LEFT(F117,15)='SOP template'!$B$1,1,"")</f>
        <v/>
      </c>
      <c r="B117" s="190" t="str">
        <f t="shared" si="16"/>
        <v>SOP.007.6</v>
      </c>
      <c r="C117" s="190" t="str">
        <f t="shared" si="144"/>
        <v>SOP.007.3.4</v>
      </c>
      <c r="D117" s="190" t="str">
        <f t="shared" si="145"/>
        <v>SOP.007.2.5</v>
      </c>
      <c r="E117" s="190">
        <f t="shared" si="78"/>
        <v>6</v>
      </c>
      <c r="F117" s="190" t="str">
        <f t="shared" si="18"/>
        <v>ALP.BSP.SOP.007.06</v>
      </c>
      <c r="G117" s="190" t="str">
        <f>IF(ISBLANK(N117),"",CONCATENATE(LEFT(F117,15),".",INDEX(Ref!A:A,MATCH(N117,Ref!$K$1:$K$333,0))))</f>
        <v/>
      </c>
      <c r="H117" s="180"/>
      <c r="I117" s="217"/>
      <c r="J117" s="180"/>
      <c r="K117" s="181"/>
      <c r="L117" s="182"/>
      <c r="M117" s="182"/>
      <c r="N117" s="183"/>
      <c r="O117" s="182"/>
      <c r="P117" s="182"/>
      <c r="Q117" s="184"/>
      <c r="R117" s="184"/>
      <c r="S117" s="185" t="str">
        <f>IFERROR(CLEAN(INDEX('Risk Matrix'!$H$7:$L$11,MATCH($Q117,'Risk Matrix'!$F$7:$F$11,0),MATCH($R117,'Risk Matrix'!$H$6:$L$6,0))),"")</f>
        <v/>
      </c>
      <c r="T117" s="85" t="str">
        <f>IF(LEFT($B117,7)=RIGHT('SOP template'!$B$1,7),_xlfn.NUMBERVALUE(RIGHT($S117,2)),"")</f>
        <v/>
      </c>
      <c r="U117" s="182"/>
      <c r="V117" s="182"/>
      <c r="W117" s="182"/>
      <c r="X117" s="182" t="s">
        <v>630</v>
      </c>
      <c r="Y117" s="182" t="s">
        <v>631</v>
      </c>
      <c r="Z117" s="182"/>
      <c r="AA117" s="186" t="str">
        <f>IFERROR(VLOOKUP(IFERROR(LEFT(S117,4),""),Ref!$AF$2:$AG$5,2,0),"")</f>
        <v/>
      </c>
      <c r="AB117" s="186"/>
      <c r="AC117" s="218" t="s">
        <v>170</v>
      </c>
      <c r="AD117" s="187" t="str">
        <f>IFERROR(VLOOKUP(AC117,'Training Matrix'!B$4:C$24,2,0),"")</f>
        <v>Scientist</v>
      </c>
      <c r="AE117" s="221">
        <v>45792</v>
      </c>
      <c r="AF117" s="188">
        <f t="shared" si="84"/>
        <v>46522</v>
      </c>
      <c r="AG117" s="189" t="str">
        <f t="shared" ca="1" si="85"/>
        <v>Current</v>
      </c>
      <c r="AH117" s="50" t="str">
        <f t="shared" ref="AH117" si="149">IF(OR(AC117="",AE117=""),"",CONCATENATE(AC117,"_",K112,"_",L112))</f>
        <v>Person 6_ALP.BSP.SOP.007_Sharps use and disposal</v>
      </c>
    </row>
    <row r="118" spans="1:34" ht="45" x14ac:dyDescent="0.25">
      <c r="A118" s="5" t="str">
        <f>IF(LEFT(F118,15)='SOP template'!$B$1,1,"")</f>
        <v/>
      </c>
      <c r="B118" s="190" t="str">
        <f t="shared" si="16"/>
        <v>SOP.007.7</v>
      </c>
      <c r="C118" s="190" t="str">
        <f t="shared" si="144"/>
        <v>SOP.007.4</v>
      </c>
      <c r="D118" s="190" t="str">
        <f t="shared" si="145"/>
        <v>SOP.007.3</v>
      </c>
      <c r="E118" s="190">
        <f t="shared" si="78"/>
        <v>7</v>
      </c>
      <c r="F118" s="190" t="str">
        <f t="shared" si="18"/>
        <v>ALP.BSP.SOP.007.07</v>
      </c>
      <c r="G118" s="190" t="str">
        <f>IF(ISBLANK(N118),"",CONCATENATE(LEFT(F118,15),".",INDEX(Ref!A:A,MATCH(N118,Ref!$K$1:$K$333,0))))</f>
        <v/>
      </c>
      <c r="H118" s="180"/>
      <c r="I118" s="217"/>
      <c r="J118" s="180"/>
      <c r="K118" s="181"/>
      <c r="L118" s="182"/>
      <c r="M118" s="182"/>
      <c r="N118" s="183"/>
      <c r="O118" s="182"/>
      <c r="P118" s="182"/>
      <c r="Q118" s="184"/>
      <c r="R118" s="184"/>
      <c r="S118" s="185" t="str">
        <f>IFERROR(CLEAN(INDEX('Risk Matrix'!$H$7:$L$11,MATCH($Q118,'Risk Matrix'!$F$7:$F$11,0),MATCH($R118,'Risk Matrix'!$H$6:$L$6,0))),"")</f>
        <v/>
      </c>
      <c r="T118" s="85" t="str">
        <f>IF(LEFT($B118,7)=RIGHT('SOP template'!$B$1,7),_xlfn.NUMBERVALUE(RIGHT($S118,2)),"")</f>
        <v/>
      </c>
      <c r="U118" s="182"/>
      <c r="V118" s="182"/>
      <c r="W118" s="182"/>
      <c r="X118" s="182" t="s">
        <v>632</v>
      </c>
      <c r="Y118" s="182" t="s">
        <v>586</v>
      </c>
      <c r="Z118" s="182"/>
      <c r="AA118" s="186" t="str">
        <f>IFERROR(VLOOKUP(IFERROR(LEFT(S118,4),""),Ref!$AF$2:$AG$5,2,0),"")</f>
        <v/>
      </c>
      <c r="AB118" s="186"/>
      <c r="AC118" s="218"/>
      <c r="AD118" s="187" t="str">
        <f>IFERROR(VLOOKUP(AC118,'Training Matrix'!B$4:C$24,2,0),"")</f>
        <v/>
      </c>
      <c r="AE118" s="221"/>
      <c r="AF118" s="188" t="str">
        <f t="shared" si="84"/>
        <v/>
      </c>
      <c r="AG118" s="189" t="str">
        <f t="shared" ca="1" si="85"/>
        <v/>
      </c>
      <c r="AH118" s="50" t="str">
        <f t="shared" ref="AH118" si="150">IF(OR(AC118="",AE118=""),"",CONCATENATE(AC118,"_",K112,"_",L112))</f>
        <v/>
      </c>
    </row>
    <row r="119" spans="1:34" ht="45" x14ac:dyDescent="0.25">
      <c r="A119" s="5" t="str">
        <f>IF(LEFT(F119,15)='SOP template'!$B$1,1,"")</f>
        <v/>
      </c>
      <c r="B119" s="190" t="str">
        <f t="shared" si="16"/>
        <v>SOP.007.8</v>
      </c>
      <c r="C119" s="190" t="str">
        <f t="shared" si="144"/>
        <v>SOP.007.4.4</v>
      </c>
      <c r="D119" s="190" t="str">
        <f t="shared" si="145"/>
        <v>SOP.007.3.3</v>
      </c>
      <c r="E119" s="190">
        <f t="shared" si="78"/>
        <v>8</v>
      </c>
      <c r="F119" s="190" t="str">
        <f t="shared" si="18"/>
        <v>ALP.BSP.SOP.007.08</v>
      </c>
      <c r="G119" s="190" t="str">
        <f>IF(ISBLANK(N119),"",CONCATENATE(LEFT(F119,15),".",INDEX(Ref!A:A,MATCH(N119,Ref!$K$1:$K$333,0))))</f>
        <v/>
      </c>
      <c r="H119" s="180"/>
      <c r="I119" s="217"/>
      <c r="J119" s="180"/>
      <c r="K119" s="181"/>
      <c r="L119" s="182"/>
      <c r="M119" s="182"/>
      <c r="N119" s="183"/>
      <c r="O119" s="182"/>
      <c r="P119" s="182"/>
      <c r="Q119" s="184"/>
      <c r="R119" s="184"/>
      <c r="S119" s="185" t="str">
        <f>IFERROR(CLEAN(INDEX('Risk Matrix'!$H$7:$L$11,MATCH($Q119,'Risk Matrix'!$F$7:$F$11,0),MATCH($R119,'Risk Matrix'!$H$6:$L$6,0))),"")</f>
        <v/>
      </c>
      <c r="T119" s="85" t="str">
        <f>IF(LEFT($B119,7)=RIGHT('SOP template'!$B$1,7),_xlfn.NUMBERVALUE(RIGHT($S119,2)),"")</f>
        <v/>
      </c>
      <c r="U119" s="182"/>
      <c r="V119" s="182"/>
      <c r="W119" s="182"/>
      <c r="X119" s="182" t="s">
        <v>633</v>
      </c>
      <c r="Y119" s="182" t="s">
        <v>604</v>
      </c>
      <c r="Z119" s="182"/>
      <c r="AA119" s="186" t="str">
        <f>IFERROR(VLOOKUP(IFERROR(LEFT(S119,4),""),Ref!$AF$2:$AG$5,2,0),"")</f>
        <v/>
      </c>
      <c r="AB119" s="186"/>
      <c r="AC119" s="218"/>
      <c r="AD119" s="187" t="str">
        <f>IFERROR(VLOOKUP(AC119,'Training Matrix'!B$4:C$24,2,0),"")</f>
        <v/>
      </c>
      <c r="AE119" s="221"/>
      <c r="AF119" s="188" t="str">
        <f t="shared" si="84"/>
        <v/>
      </c>
      <c r="AG119" s="189" t="str">
        <f t="shared" ca="1" si="85"/>
        <v/>
      </c>
      <c r="AH119" s="50" t="str">
        <f t="shared" ref="AH119" si="151">IF(OR(AC119="",AE119=""),"",CONCATENATE(AC119,"_",K112,"_",L112))</f>
        <v/>
      </c>
    </row>
    <row r="120" spans="1:34" x14ac:dyDescent="0.25">
      <c r="A120" s="5" t="str">
        <f>IF(LEFT(F120,15)='SOP template'!$B$1,1,"")</f>
        <v/>
      </c>
      <c r="B120" s="190" t="str">
        <f t="shared" si="16"/>
        <v>SOP.007.9</v>
      </c>
      <c r="C120" s="190" t="str">
        <f t="shared" si="144"/>
        <v>SOP.007.5</v>
      </c>
      <c r="D120" s="190" t="str">
        <f t="shared" si="145"/>
        <v>SOP.007.3.5</v>
      </c>
      <c r="E120" s="190">
        <f t="shared" si="78"/>
        <v>9</v>
      </c>
      <c r="F120" s="190" t="str">
        <f t="shared" si="18"/>
        <v>ALP.BSP.SOP.007.09</v>
      </c>
      <c r="G120" s="190" t="str">
        <f>IF(ISBLANK(N120),"",CONCATENATE(LEFT(F120,15),".",INDEX(Ref!A:A,MATCH(N120,Ref!$K$1:$K$333,0))))</f>
        <v/>
      </c>
      <c r="H120" s="180"/>
      <c r="I120" s="217"/>
      <c r="J120" s="180"/>
      <c r="K120" s="181"/>
      <c r="L120" s="182"/>
      <c r="M120" s="182"/>
      <c r="N120" s="183"/>
      <c r="O120" s="182"/>
      <c r="P120" s="182"/>
      <c r="Q120" s="184"/>
      <c r="R120" s="184"/>
      <c r="S120" s="185" t="str">
        <f>IFERROR(CLEAN(INDEX('Risk Matrix'!$H$7:$L$11,MATCH($Q120,'Risk Matrix'!$F$7:$F$11,0),MATCH($R120,'Risk Matrix'!$H$6:$L$6,0))),"")</f>
        <v/>
      </c>
      <c r="T120" s="85" t="str">
        <f>IF(LEFT($B120,7)=RIGHT('SOP template'!$B$1,7),_xlfn.NUMBERVALUE(RIGHT($S120,2)),"")</f>
        <v/>
      </c>
      <c r="U120" s="182"/>
      <c r="V120" s="182"/>
      <c r="W120" s="182"/>
      <c r="X120" s="182"/>
      <c r="Y120" s="182"/>
      <c r="Z120" s="182"/>
      <c r="AA120" s="186" t="str">
        <f>IFERROR(VLOOKUP(IFERROR(LEFT(S120,4),""),Ref!$AF$2:$AG$5,2,0),"")</f>
        <v/>
      </c>
      <c r="AB120" s="186"/>
      <c r="AC120" s="218"/>
      <c r="AD120" s="187" t="str">
        <f>IFERROR(VLOOKUP(AC120,'Training Matrix'!B$4:C$24,2,0),"")</f>
        <v/>
      </c>
      <c r="AE120" s="221"/>
      <c r="AF120" s="188" t="str">
        <f t="shared" si="84"/>
        <v/>
      </c>
      <c r="AG120" s="189" t="str">
        <f t="shared" ca="1" si="85"/>
        <v/>
      </c>
      <c r="AH120" s="50" t="str">
        <f t="shared" ref="AH120" si="152">IF(OR(AC120="",AE120=""),"",CONCATENATE(AC120,"_",K112,"_",L112))</f>
        <v/>
      </c>
    </row>
    <row r="121" spans="1:34" x14ac:dyDescent="0.25">
      <c r="A121" s="5" t="str">
        <f>IF(LEFT(F121,15)='SOP template'!$B$1,1,"")</f>
        <v/>
      </c>
      <c r="B121" s="190" t="str">
        <f t="shared" si="16"/>
        <v>SOP.007.10</v>
      </c>
      <c r="C121" s="190" t="str">
        <f t="shared" si="144"/>
        <v>SOP.007.5.4</v>
      </c>
      <c r="D121" s="190" t="str">
        <f t="shared" si="145"/>
        <v>SOP.007.4</v>
      </c>
      <c r="E121" s="190">
        <f t="shared" si="78"/>
        <v>10</v>
      </c>
      <c r="F121" s="190" t="str">
        <f t="shared" si="18"/>
        <v>ALP.BSP.SOP.007.10</v>
      </c>
      <c r="G121" s="190" t="str">
        <f>IF(ISBLANK(N121),"",CONCATENATE(LEFT(F121,15),".",INDEX(Ref!A:A,MATCH(N121,Ref!$K$1:$K$333,0))))</f>
        <v/>
      </c>
      <c r="H121" s="180"/>
      <c r="I121" s="217"/>
      <c r="J121" s="180"/>
      <c r="K121" s="181"/>
      <c r="L121" s="182"/>
      <c r="M121" s="182"/>
      <c r="N121" s="183"/>
      <c r="O121" s="182"/>
      <c r="P121" s="182"/>
      <c r="Q121" s="184"/>
      <c r="R121" s="184"/>
      <c r="S121" s="185" t="str">
        <f>IFERROR(CLEAN(INDEX('Risk Matrix'!$H$7:$L$11,MATCH($Q121,'Risk Matrix'!$F$7:$F$11,0),MATCH($R121,'Risk Matrix'!$H$6:$L$6,0))),"")</f>
        <v/>
      </c>
      <c r="T121" s="85" t="str">
        <f>IF(LEFT($B121,7)=RIGHT('SOP template'!$B$1,7),_xlfn.NUMBERVALUE(RIGHT($S121,2)),"")</f>
        <v/>
      </c>
      <c r="U121" s="182"/>
      <c r="V121" s="182"/>
      <c r="W121" s="182"/>
      <c r="X121" s="182"/>
      <c r="Y121" s="182"/>
      <c r="Z121" s="182"/>
      <c r="AA121" s="186" t="str">
        <f>IFERROR(VLOOKUP(IFERROR(LEFT(S121,4),""),Ref!$AF$2:$AG$5,2,0),"")</f>
        <v/>
      </c>
      <c r="AB121" s="186"/>
      <c r="AC121" s="218"/>
      <c r="AD121" s="187" t="str">
        <f>IFERROR(VLOOKUP(AC121,'Training Matrix'!B$4:C$24,2,0),"")</f>
        <v/>
      </c>
      <c r="AE121" s="221"/>
      <c r="AF121" s="188" t="str">
        <f t="shared" si="84"/>
        <v/>
      </c>
      <c r="AG121" s="189" t="str">
        <f t="shared" ca="1" si="85"/>
        <v/>
      </c>
      <c r="AH121" s="50" t="str">
        <f t="shared" ref="AH121" si="153">IF(OR(AC121="",AE121=""),"",CONCATENATE(AC121,"_",K112,"_",L112))</f>
        <v/>
      </c>
    </row>
    <row r="122" spans="1:34" x14ac:dyDescent="0.25">
      <c r="A122" s="5" t="str">
        <f>IF(LEFT(F122,15)='SOP template'!$B$1,1,"")</f>
        <v/>
      </c>
      <c r="B122" s="190" t="str">
        <f t="shared" ref="B122:B129" si="154">CONCATENATE(LEFT(B121,8),E122)</f>
        <v>SOP.007.11</v>
      </c>
      <c r="C122" s="190" t="str">
        <f t="shared" si="144"/>
        <v>SOP.007.6</v>
      </c>
      <c r="D122" s="190" t="str">
        <f t="shared" si="145"/>
        <v>SOP.007.4.3</v>
      </c>
      <c r="E122" s="190">
        <f t="shared" si="78"/>
        <v>11</v>
      </c>
      <c r="F122" s="190" t="str">
        <f t="shared" ref="F122:F129" si="155">IF(K122=0,LEFT(F121,16)&amp;TEXT(E122,"00"),K122&amp;"."&amp;TEXT(E122,"00"))</f>
        <v>ALP.BSP.SOP.007.11</v>
      </c>
      <c r="G122" s="190" t="str">
        <f>IF(ISBLANK(N122),"",CONCATENATE(LEFT(F122,15),".",INDEX(Ref!A:A,MATCH(N122,Ref!$K$1:$K$333,0))))</f>
        <v/>
      </c>
      <c r="H122" s="180"/>
      <c r="I122" s="217"/>
      <c r="J122" s="180"/>
      <c r="K122" s="181"/>
      <c r="L122" s="182"/>
      <c r="M122" s="182"/>
      <c r="N122" s="183"/>
      <c r="O122" s="182"/>
      <c r="P122" s="182"/>
      <c r="Q122" s="184"/>
      <c r="R122" s="184"/>
      <c r="S122" s="185" t="str">
        <f>IFERROR(CLEAN(INDEX('Risk Matrix'!$H$7:$L$11,MATCH($Q122,'Risk Matrix'!$F$7:$F$11,0),MATCH($R122,'Risk Matrix'!$H$6:$L$6,0))),"")</f>
        <v/>
      </c>
      <c r="T122" s="85" t="str">
        <f>IF(LEFT($B122,7)=RIGHT('SOP template'!$B$1,7),_xlfn.NUMBERVALUE(RIGHT($S122,2)),"")</f>
        <v/>
      </c>
      <c r="U122" s="182"/>
      <c r="V122" s="182"/>
      <c r="W122" s="182"/>
      <c r="X122" s="182"/>
      <c r="Y122" s="182"/>
      <c r="Z122" s="182"/>
      <c r="AA122" s="186" t="str">
        <f>IFERROR(VLOOKUP(IFERROR(LEFT(S122,4),""),Ref!$AF$2:$AG$5,2,0),"")</f>
        <v/>
      </c>
      <c r="AB122" s="186"/>
      <c r="AC122" s="218"/>
      <c r="AD122" s="187" t="str">
        <f>IFERROR(VLOOKUP(AC122,'Training Matrix'!B$4:C$24,2,0),"")</f>
        <v/>
      </c>
      <c r="AE122" s="218"/>
      <c r="AF122" s="188" t="str">
        <f t="shared" si="84"/>
        <v/>
      </c>
      <c r="AG122" s="189" t="str">
        <f t="shared" ca="1" si="85"/>
        <v/>
      </c>
      <c r="AH122" s="50" t="str">
        <f t="shared" ref="AH122" si="156">IF(OR(AC122="",AE122=""),"",CONCATENATE(AC122,"_",K112,"_",L112))</f>
        <v/>
      </c>
    </row>
    <row r="123" spans="1:34" x14ac:dyDescent="0.25">
      <c r="A123" s="5" t="str">
        <f>IF(LEFT(F123,15)='SOP template'!$B$1,1,"")</f>
        <v/>
      </c>
      <c r="B123" s="190" t="str">
        <f t="shared" si="154"/>
        <v>SOP.007.12</v>
      </c>
      <c r="C123" s="190" t="str">
        <f t="shared" si="144"/>
        <v>SOP.007.6.4</v>
      </c>
      <c r="D123" s="190" t="str">
        <f t="shared" si="145"/>
        <v>SOP.007.4.5</v>
      </c>
      <c r="E123" s="190">
        <f t="shared" si="78"/>
        <v>12</v>
      </c>
      <c r="F123" s="190" t="str">
        <f t="shared" si="155"/>
        <v>ALP.BSP.SOP.007.12</v>
      </c>
      <c r="G123" s="190" t="str">
        <f>IF(ISBLANK(N123),"",CONCATENATE(LEFT(F123,15),".",INDEX(Ref!A:A,MATCH(N123,Ref!$K$1:$K$333,0))))</f>
        <v/>
      </c>
      <c r="H123" s="180"/>
      <c r="I123" s="217"/>
      <c r="J123" s="180"/>
      <c r="K123" s="181"/>
      <c r="L123" s="182"/>
      <c r="M123" s="182"/>
      <c r="N123" s="183"/>
      <c r="O123" s="182"/>
      <c r="P123" s="182"/>
      <c r="Q123" s="184"/>
      <c r="R123" s="184"/>
      <c r="S123" s="185" t="str">
        <f>IFERROR(CLEAN(INDEX('Risk Matrix'!$H$7:$L$11,MATCH($Q123,'Risk Matrix'!$F$7:$F$11,0),MATCH($R123,'Risk Matrix'!$H$6:$L$6,0))),"")</f>
        <v/>
      </c>
      <c r="T123" s="85" t="str">
        <f>IF(LEFT($B123,7)=RIGHT('SOP template'!$B$1,7),_xlfn.NUMBERVALUE(RIGHT($S123,2)),"")</f>
        <v/>
      </c>
      <c r="U123" s="182"/>
      <c r="V123" s="182"/>
      <c r="W123" s="182"/>
      <c r="X123" s="182"/>
      <c r="Y123" s="182"/>
      <c r="Z123" s="182"/>
      <c r="AA123" s="186" t="str">
        <f>IFERROR(VLOOKUP(IFERROR(LEFT(S123,4),""),Ref!$AF$2:$AG$5,2,0),"")</f>
        <v/>
      </c>
      <c r="AB123" s="186"/>
      <c r="AC123" s="218"/>
      <c r="AD123" s="187" t="str">
        <f>IFERROR(VLOOKUP(AC123,'Training Matrix'!B$4:C$24,2,0),"")</f>
        <v/>
      </c>
      <c r="AE123" s="218"/>
      <c r="AF123" s="188" t="str">
        <f t="shared" si="84"/>
        <v/>
      </c>
      <c r="AG123" s="189" t="str">
        <f t="shared" ca="1" si="85"/>
        <v/>
      </c>
      <c r="AH123" s="50" t="str">
        <f t="shared" ref="AH123" si="157">IF(OR(AC123="",AE123=""),"",CONCATENATE(AC123,"_",K112,"_",L112))</f>
        <v/>
      </c>
    </row>
    <row r="124" spans="1:34" x14ac:dyDescent="0.25">
      <c r="A124" s="5" t="str">
        <f>IF(LEFT(F124,15)='SOP template'!$B$1,1,"")</f>
        <v/>
      </c>
      <c r="B124" s="190" t="str">
        <f t="shared" si="154"/>
        <v>SOP.007.13</v>
      </c>
      <c r="C124" s="190" t="str">
        <f t="shared" si="144"/>
        <v>SOP.007.</v>
      </c>
      <c r="D124" s="190" t="str">
        <f t="shared" si="145"/>
        <v>SOP.007.</v>
      </c>
      <c r="E124" s="190">
        <f t="shared" si="78"/>
        <v>13</v>
      </c>
      <c r="F124" s="190" t="str">
        <f t="shared" si="155"/>
        <v>ALP.BSP.SOP.007.13</v>
      </c>
      <c r="G124" s="190" t="str">
        <f>IF(ISBLANK(N124),"",CONCATENATE(LEFT(F124,15),".",INDEX(Ref!A:A,MATCH(N124,Ref!$K$1:$K$333,0))))</f>
        <v/>
      </c>
      <c r="H124" s="180"/>
      <c r="I124" s="217"/>
      <c r="J124" s="180"/>
      <c r="K124" s="181"/>
      <c r="L124" s="182"/>
      <c r="M124" s="182"/>
      <c r="N124" s="183"/>
      <c r="O124" s="182"/>
      <c r="P124" s="182"/>
      <c r="Q124" s="184"/>
      <c r="R124" s="184"/>
      <c r="S124" s="185" t="str">
        <f>IFERROR(CLEAN(INDEX('Risk Matrix'!$H$7:$L$11,MATCH($Q124,'Risk Matrix'!$F$7:$F$11,0),MATCH($R124,'Risk Matrix'!$H$6:$L$6,0))),"")</f>
        <v/>
      </c>
      <c r="T124" s="85" t="str">
        <f>IF(LEFT($B124,7)=RIGHT('SOP template'!$B$1,7),_xlfn.NUMBERVALUE(RIGHT($S124,2)),"")</f>
        <v/>
      </c>
      <c r="U124" s="182"/>
      <c r="V124" s="182"/>
      <c r="W124" s="182"/>
      <c r="X124" s="182"/>
      <c r="Y124" s="182"/>
      <c r="Z124" s="182"/>
      <c r="AA124" s="186" t="str">
        <f>IFERROR(VLOOKUP(IFERROR(LEFT(S124,4),""),Ref!$AF$2:$AG$5,2,0),"")</f>
        <v/>
      </c>
      <c r="AB124" s="186"/>
      <c r="AC124" s="218"/>
      <c r="AD124" s="187" t="str">
        <f>IFERROR(VLOOKUP(AC124,'Training Matrix'!B$4:C$24,2,0),"")</f>
        <v/>
      </c>
      <c r="AE124" s="218"/>
      <c r="AF124" s="188" t="str">
        <f t="shared" si="84"/>
        <v/>
      </c>
      <c r="AG124" s="189" t="str">
        <f t="shared" ca="1" si="85"/>
        <v/>
      </c>
      <c r="AH124" s="50" t="str">
        <f t="shared" ref="AH124" si="158">IF(OR(AC124="",AE124=""),"",CONCATENATE(AC124,"_",K112,"_",L112))</f>
        <v/>
      </c>
    </row>
    <row r="125" spans="1:34" x14ac:dyDescent="0.25">
      <c r="A125" s="5" t="str">
        <f>IF(LEFT(F125,15)='SOP template'!$B$1,1,"")</f>
        <v/>
      </c>
      <c r="B125" s="190" t="str">
        <f t="shared" si="154"/>
        <v>SOP.007.14</v>
      </c>
      <c r="C125" s="190" t="str">
        <f t="shared" si="144"/>
        <v>SOP.007.</v>
      </c>
      <c r="D125" s="190" t="str">
        <f t="shared" si="145"/>
        <v>SOP.007.</v>
      </c>
      <c r="E125" s="190">
        <f t="shared" si="78"/>
        <v>14</v>
      </c>
      <c r="F125" s="190" t="str">
        <f t="shared" si="155"/>
        <v>ALP.BSP.SOP.007.14</v>
      </c>
      <c r="G125" s="190" t="str">
        <f>IF(ISBLANK(N125),"",CONCATENATE(LEFT(F125,15),".",INDEX(Ref!A:A,MATCH(N125,Ref!$K$1:$K$333,0))))</f>
        <v/>
      </c>
      <c r="H125" s="180"/>
      <c r="I125" s="217"/>
      <c r="J125" s="180"/>
      <c r="K125" s="181"/>
      <c r="L125" s="182"/>
      <c r="M125" s="182"/>
      <c r="N125" s="183"/>
      <c r="O125" s="182"/>
      <c r="P125" s="182"/>
      <c r="Q125" s="184"/>
      <c r="R125" s="184"/>
      <c r="S125" s="185" t="str">
        <f>IFERROR(CLEAN(INDEX('Risk Matrix'!$H$7:$L$11,MATCH($Q125,'Risk Matrix'!$F$7:$F$11,0),MATCH($R125,'Risk Matrix'!$H$6:$L$6,0))),"")</f>
        <v/>
      </c>
      <c r="T125" s="85" t="str">
        <f>IF(LEFT($B125,7)=RIGHT('SOP template'!$B$1,7),_xlfn.NUMBERVALUE(RIGHT($S125,2)),"")</f>
        <v/>
      </c>
      <c r="U125" s="182"/>
      <c r="V125" s="182"/>
      <c r="W125" s="182"/>
      <c r="X125" s="182"/>
      <c r="Y125" s="182"/>
      <c r="Z125" s="182"/>
      <c r="AA125" s="186" t="str">
        <f>IFERROR(VLOOKUP(IFERROR(LEFT(S125,4),""),Ref!$AF$2:$AG$5,2,0),"")</f>
        <v/>
      </c>
      <c r="AB125" s="186"/>
      <c r="AC125" s="218"/>
      <c r="AD125" s="187" t="str">
        <f>IFERROR(VLOOKUP(AC125,'Training Matrix'!B$4:C$24,2,0),"")</f>
        <v/>
      </c>
      <c r="AE125" s="218"/>
      <c r="AF125" s="188" t="str">
        <f t="shared" si="84"/>
        <v/>
      </c>
      <c r="AG125" s="189" t="str">
        <f t="shared" ca="1" si="85"/>
        <v/>
      </c>
      <c r="AH125" s="50" t="str">
        <f t="shared" ref="AH125" si="159">IF(OR(AC125="",AE125=""),"",CONCATENATE(AC125,"_",K112,"_",L112))</f>
        <v/>
      </c>
    </row>
    <row r="126" spans="1:34" x14ac:dyDescent="0.25">
      <c r="A126" s="5" t="str">
        <f>IF(LEFT(F126,15)='SOP template'!$B$1,1,"")</f>
        <v/>
      </c>
      <c r="B126" s="190" t="str">
        <f t="shared" si="154"/>
        <v>SOP.007.15</v>
      </c>
      <c r="C126" s="190" t="str">
        <f t="shared" si="144"/>
        <v>SOP.007.</v>
      </c>
      <c r="D126" s="190" t="str">
        <f t="shared" si="145"/>
        <v>SOP.007.</v>
      </c>
      <c r="E126" s="190">
        <f t="shared" si="78"/>
        <v>15</v>
      </c>
      <c r="F126" s="190" t="str">
        <f t="shared" si="155"/>
        <v>ALP.BSP.SOP.007.15</v>
      </c>
      <c r="G126" s="190" t="str">
        <f>IF(ISBLANK(N126),"",CONCATENATE(LEFT(F126,15),".",INDEX(Ref!A:A,MATCH(N126,Ref!$K$1:$K$333,0))))</f>
        <v/>
      </c>
      <c r="H126" s="180"/>
      <c r="I126" s="217"/>
      <c r="J126" s="180"/>
      <c r="K126" s="181"/>
      <c r="L126" s="182"/>
      <c r="M126" s="182"/>
      <c r="N126" s="183"/>
      <c r="O126" s="182"/>
      <c r="P126" s="182"/>
      <c r="Q126" s="184"/>
      <c r="R126" s="184"/>
      <c r="S126" s="185" t="str">
        <f>IFERROR(CLEAN(INDEX('Risk Matrix'!$H$7:$L$11,MATCH($Q126,'Risk Matrix'!$F$7:$F$11,0),MATCH($R126,'Risk Matrix'!$H$6:$L$6,0))),"")</f>
        <v/>
      </c>
      <c r="T126" s="85" t="str">
        <f>IF(LEFT($B126,7)=RIGHT('SOP template'!$B$1,7),_xlfn.NUMBERVALUE(RIGHT($S126,2)),"")</f>
        <v/>
      </c>
      <c r="U126" s="182"/>
      <c r="V126" s="182"/>
      <c r="W126" s="182"/>
      <c r="X126" s="182"/>
      <c r="Y126" s="182"/>
      <c r="Z126" s="182"/>
      <c r="AA126" s="186" t="str">
        <f>IFERROR(VLOOKUP(IFERROR(LEFT(S126,4),""),Ref!$AF$2:$AG$5,2,0),"")</f>
        <v/>
      </c>
      <c r="AB126" s="186"/>
      <c r="AC126" s="218"/>
      <c r="AD126" s="187" t="str">
        <f>IFERROR(VLOOKUP(AC126,'Training Matrix'!B$4:C$24,2,0),"")</f>
        <v/>
      </c>
      <c r="AE126" s="218"/>
      <c r="AF126" s="188" t="str">
        <f t="shared" si="84"/>
        <v/>
      </c>
      <c r="AG126" s="189" t="str">
        <f t="shared" ca="1" si="85"/>
        <v/>
      </c>
      <c r="AH126" s="50" t="str">
        <f t="shared" ref="AH126" si="160">IF(OR(AC126="",AE126=""),"",CONCATENATE(AC126,"_",K112,"_",L112))</f>
        <v/>
      </c>
    </row>
    <row r="127" spans="1:34" x14ac:dyDescent="0.25">
      <c r="A127" s="5" t="str">
        <f>IF(LEFT(F127,15)='SOP template'!$B$1,1,"")</f>
        <v/>
      </c>
      <c r="B127" s="190" t="str">
        <f t="shared" si="154"/>
        <v>SOP.007.16</v>
      </c>
      <c r="C127" s="190" t="str">
        <f t="shared" si="144"/>
        <v>SOP.007.</v>
      </c>
      <c r="D127" s="190" t="str">
        <f t="shared" si="145"/>
        <v>SOP.007.</v>
      </c>
      <c r="E127" s="190">
        <f t="shared" si="78"/>
        <v>16</v>
      </c>
      <c r="F127" s="190" t="str">
        <f t="shared" si="155"/>
        <v>ALP.BSP.SOP.007.16</v>
      </c>
      <c r="G127" s="190" t="str">
        <f>IF(ISBLANK(N127),"",CONCATENATE(LEFT(F127,15),".",INDEX(Ref!A:A,MATCH(N127,Ref!$K$1:$K$333,0))))</f>
        <v/>
      </c>
      <c r="H127" s="180"/>
      <c r="I127" s="217"/>
      <c r="J127" s="180"/>
      <c r="K127" s="181"/>
      <c r="L127" s="182"/>
      <c r="M127" s="182"/>
      <c r="N127" s="183"/>
      <c r="O127" s="182"/>
      <c r="P127" s="182"/>
      <c r="Q127" s="184"/>
      <c r="R127" s="184"/>
      <c r="S127" s="185" t="str">
        <f>IFERROR(CLEAN(INDEX('Risk Matrix'!$H$7:$L$11,MATCH($Q127,'Risk Matrix'!$F$7:$F$11,0),MATCH($R127,'Risk Matrix'!$H$6:$L$6,0))),"")</f>
        <v/>
      </c>
      <c r="T127" s="85" t="str">
        <f>IF(LEFT($B127,7)=RIGHT('SOP template'!$B$1,7),_xlfn.NUMBERVALUE(RIGHT($S127,2)),"")</f>
        <v/>
      </c>
      <c r="U127" s="182"/>
      <c r="V127" s="182"/>
      <c r="W127" s="182"/>
      <c r="X127" s="182"/>
      <c r="Y127" s="182"/>
      <c r="Z127" s="182"/>
      <c r="AA127" s="186" t="str">
        <f>IFERROR(VLOOKUP(IFERROR(LEFT(S127,4),""),Ref!$AF$2:$AG$5,2,0),"")</f>
        <v/>
      </c>
      <c r="AB127" s="186"/>
      <c r="AC127" s="218"/>
      <c r="AD127" s="187" t="str">
        <f>IFERROR(VLOOKUP(AC127,'Training Matrix'!B$4:C$24,2,0),"")</f>
        <v/>
      </c>
      <c r="AE127" s="218"/>
      <c r="AF127" s="188" t="str">
        <f t="shared" si="84"/>
        <v/>
      </c>
      <c r="AG127" s="189" t="str">
        <f t="shared" ca="1" si="85"/>
        <v/>
      </c>
      <c r="AH127" s="50" t="str">
        <f t="shared" ref="AH127" si="161">IF(OR(AC127="",AE127=""),"",CONCATENATE(AC127,"_",K112,"_",L112))</f>
        <v/>
      </c>
    </row>
    <row r="128" spans="1:34" x14ac:dyDescent="0.25">
      <c r="A128" s="5" t="str">
        <f>IF(LEFT(F128,15)='SOP template'!$B$1,1,"")</f>
        <v/>
      </c>
      <c r="B128" s="190" t="str">
        <f t="shared" si="154"/>
        <v>SOP.007.17</v>
      </c>
      <c r="C128" s="190" t="str">
        <f t="shared" si="144"/>
        <v>SOP.007.</v>
      </c>
      <c r="D128" s="190" t="str">
        <f t="shared" si="145"/>
        <v>SOP.007.</v>
      </c>
      <c r="E128" s="190">
        <f t="shared" si="78"/>
        <v>17</v>
      </c>
      <c r="F128" s="190" t="str">
        <f t="shared" si="155"/>
        <v>ALP.BSP.SOP.007.17</v>
      </c>
      <c r="G128" s="190" t="str">
        <f>IF(ISBLANK(N128),"",CONCATENATE(LEFT(F128,15),".",INDEX(Ref!A:A,MATCH(N128,Ref!$K$1:$K$333,0))))</f>
        <v/>
      </c>
      <c r="H128" s="180"/>
      <c r="I128" s="217"/>
      <c r="J128" s="180"/>
      <c r="K128" s="181"/>
      <c r="L128" s="182"/>
      <c r="M128" s="182"/>
      <c r="N128" s="183"/>
      <c r="O128" s="182"/>
      <c r="P128" s="182"/>
      <c r="Q128" s="184"/>
      <c r="R128" s="184"/>
      <c r="S128" s="185" t="str">
        <f>IFERROR(CLEAN(INDEX('Risk Matrix'!$H$7:$L$11,MATCH($Q128,'Risk Matrix'!$F$7:$F$11,0),MATCH($R128,'Risk Matrix'!$H$6:$L$6,0))),"")</f>
        <v/>
      </c>
      <c r="T128" s="85" t="str">
        <f>IF(LEFT($B128,7)=RIGHT('SOP template'!$B$1,7),_xlfn.NUMBERVALUE(RIGHT($S128,2)),"")</f>
        <v/>
      </c>
      <c r="U128" s="182"/>
      <c r="V128" s="182"/>
      <c r="W128" s="182"/>
      <c r="X128" s="182"/>
      <c r="Y128" s="182"/>
      <c r="Z128" s="182"/>
      <c r="AA128" s="186" t="str">
        <f>IFERROR(VLOOKUP(IFERROR(LEFT(S128,4),""),Ref!$AF$2:$AG$5,2,0),"")</f>
        <v/>
      </c>
      <c r="AB128" s="186"/>
      <c r="AC128" s="218"/>
      <c r="AD128" s="187" t="str">
        <f>IFERROR(VLOOKUP(AC128,'Training Matrix'!B$4:C$24,2,0),"")</f>
        <v/>
      </c>
      <c r="AE128" s="218"/>
      <c r="AF128" s="188" t="str">
        <f t="shared" si="84"/>
        <v/>
      </c>
      <c r="AG128" s="189" t="str">
        <f t="shared" ca="1" si="85"/>
        <v/>
      </c>
      <c r="AH128" s="50" t="str">
        <f t="shared" ref="AH128" si="162">IF(OR(AC128="",AE128=""),"",CONCATENATE(AC128,"_",K112,"_",L112))</f>
        <v/>
      </c>
    </row>
    <row r="129" spans="1:34" x14ac:dyDescent="0.25">
      <c r="A129" s="5" t="str">
        <f>IF(LEFT(F129,15)='SOP template'!$B$1,1,"")</f>
        <v/>
      </c>
      <c r="B129" s="190" t="str">
        <f t="shared" si="154"/>
        <v>SOP.007.18</v>
      </c>
      <c r="C129" s="190" t="str">
        <f t="shared" si="144"/>
        <v>SOP.007.</v>
      </c>
      <c r="D129" s="190" t="str">
        <f t="shared" si="145"/>
        <v>SOP.007.</v>
      </c>
      <c r="E129" s="190">
        <f t="shared" si="78"/>
        <v>18</v>
      </c>
      <c r="F129" s="190" t="str">
        <f t="shared" si="155"/>
        <v>ALP.BSP.SOP.007.18</v>
      </c>
      <c r="G129" s="190" t="str">
        <f>IF(ISBLANK(N129),"",CONCATENATE(LEFT(F129,15),".",INDEX(Ref!A:A,MATCH(N129,Ref!$K$1:$K$333,0))))</f>
        <v/>
      </c>
      <c r="H129" s="180"/>
      <c r="I129" s="217"/>
      <c r="J129" s="180"/>
      <c r="K129" s="181"/>
      <c r="L129" s="182"/>
      <c r="M129" s="182"/>
      <c r="N129" s="183"/>
      <c r="O129" s="182"/>
      <c r="P129" s="182"/>
      <c r="Q129" s="184"/>
      <c r="R129" s="184"/>
      <c r="S129" s="185" t="str">
        <f>IFERROR(CLEAN(INDEX('Risk Matrix'!$H$7:$L$11,MATCH($Q129,'Risk Matrix'!$F$7:$F$11,0),MATCH($R129,'Risk Matrix'!$H$6:$L$6,0))),"")</f>
        <v/>
      </c>
      <c r="T129" s="85" t="str">
        <f>IF(LEFT($B129,7)=RIGHT('SOP template'!$B$1,7),_xlfn.NUMBERVALUE(RIGHT($S129,2)),"")</f>
        <v/>
      </c>
      <c r="U129" s="182"/>
      <c r="V129" s="182"/>
      <c r="W129" s="182"/>
      <c r="X129" s="182"/>
      <c r="Y129" s="182"/>
      <c r="Z129" s="182"/>
      <c r="AA129" s="186" t="str">
        <f>IFERROR(VLOOKUP(IFERROR(LEFT(S129,4),""),Ref!$AF$2:$AG$5,2,0),"")</f>
        <v/>
      </c>
      <c r="AB129" s="186"/>
      <c r="AC129" s="218"/>
      <c r="AD129" s="187" t="str">
        <f>IFERROR(VLOOKUP(AC129,'Training Matrix'!B$4:C$24,2,0),"")</f>
        <v/>
      </c>
      <c r="AE129" s="218"/>
      <c r="AF129" s="188" t="str">
        <f t="shared" si="84"/>
        <v/>
      </c>
      <c r="AG129" s="189" t="str">
        <f t="shared" ca="1" si="85"/>
        <v/>
      </c>
      <c r="AH129" s="50" t="str">
        <f t="shared" ref="AH129" si="163">IF(OR(AC129="",AE129=""),"",CONCATENATE(AC129,"_",K112,"_",L112))</f>
        <v/>
      </c>
    </row>
    <row r="130" spans="1:34" ht="45" x14ac:dyDescent="0.25">
      <c r="A130" s="5" t="str">
        <f>IF(LEFT(F130,15)='SOP template'!$B$1,1,"")</f>
        <v/>
      </c>
      <c r="B130" s="179" t="str">
        <f t="shared" ref="B130" si="164">IF(ISBLANK($K130),CONCATENATE($B$2,".",TEXT(J130,"000"),".",$E130),CONCATENATE(RIGHT($K130,7),".1"))</f>
        <v>SOP.008.1</v>
      </c>
      <c r="C130" s="179" t="str">
        <f>IF(ISBLANK($K130),CONCATENATE(LEFT($B66,8),IF($E130=1,1.1,IF($E130=2,1.4,IF($E130=3,2,IF($E130=4,2.4,IF($E130=5,3,IF($E130=6,3.4,IF($E130=7,4,IF($E130=8,4.4,IF($E130=9,5,IF($E130=10,5.4,IF($E130=11,6,IF($E130=12,6.4,""))))))))))))),CONCATENATE(RIGHT($K130,7),".1"))</f>
        <v>SOP.008.1</v>
      </c>
      <c r="D130" s="179" t="str">
        <f>IF(ISBLANK($K130),CONCATENATE(LEFT($B66,8),IF($E130=1,1,IF($E130=2,1.3,IF($E130=3,1.5,IF($E130=4,2,IF($E130=5,2.3,IF($E130=6,2.5,IF($E130=7,3,IF($E130=8,3.3,IF($E130=9,3.5,IF($E130=10,4,IF($E130=11,4.3,IF($E130=12,4.5,""))))))))))))),CONCATENATE(RIGHT($K130,7),".1"))</f>
        <v>SOP.008.1</v>
      </c>
      <c r="E130" s="179">
        <f t="shared" si="78"/>
        <v>1</v>
      </c>
      <c r="F130" s="179" t="str">
        <f t="shared" ref="F130" si="165">K130&amp;"."&amp;TEXT(E130,"00")</f>
        <v>ALP.BSP.SOP.008.01</v>
      </c>
      <c r="G130" s="179" t="str">
        <f>IF(ISBLANK(N130),"",CONCATENATE(LEFT(F130,15),".",INDEX(Ref!A:A,MATCH(N130,Ref!$K$1:$K$333,0))))</f>
        <v>ALP.BSP.SOP.008.1</v>
      </c>
      <c r="H130" s="217" t="s">
        <v>394</v>
      </c>
      <c r="I130" s="217" t="s">
        <v>275</v>
      </c>
      <c r="J130" s="180">
        <v>8</v>
      </c>
      <c r="K130" s="181" t="str">
        <f>IFERROR(CONCATENATE(INDEX(Ref!$Z$2:$Z$8,MATCH(H130,Ref!$AA$2:$AA$8,0)),".",I130,".SOP.",TEXT(J130,"000")),CONCATENATE(H130,".",I130,".SOP.",TEXT(J130,"000")))</f>
        <v>ALP.BSP.SOP.008</v>
      </c>
      <c r="L130" s="191" t="s">
        <v>638</v>
      </c>
      <c r="M130" s="182" t="s">
        <v>639</v>
      </c>
      <c r="N130" s="183" t="s">
        <v>117</v>
      </c>
      <c r="O130" s="182" t="s">
        <v>411</v>
      </c>
      <c r="P130" s="182" t="s">
        <v>636</v>
      </c>
      <c r="Q130" s="184" t="s">
        <v>89</v>
      </c>
      <c r="R130" s="184" t="s">
        <v>90</v>
      </c>
      <c r="S130" s="185" t="str">
        <f>IFERROR(CLEAN(INDEX('Risk Matrix'!$H$7:$L$11,MATCH($Q130,'Risk Matrix'!$F$7:$F$11,0),MATCH($R130,'Risk Matrix'!$H$6:$L$6,0))),"")</f>
        <v>Medium 2</v>
      </c>
      <c r="T130" s="85" t="str">
        <f>IF(LEFT($B130,7)=RIGHT('SOP template'!$B$1,7),_xlfn.NUMBERVALUE(RIGHT($S130,2)),"")</f>
        <v/>
      </c>
      <c r="U130" s="182" t="s">
        <v>645</v>
      </c>
      <c r="V130" s="182" t="s">
        <v>646</v>
      </c>
      <c r="W130" s="182" t="s">
        <v>647</v>
      </c>
      <c r="X130" s="182" t="s">
        <v>648</v>
      </c>
      <c r="Y130" s="182" t="s">
        <v>649</v>
      </c>
      <c r="Z130" s="182" t="s">
        <v>650</v>
      </c>
      <c r="AA130" s="186">
        <f>IFERROR(VLOOKUP(IFERROR(LEFT(S130,4),""),Ref!$AF$2:$AG$5,2,0),"")</f>
        <v>24</v>
      </c>
      <c r="AB130" s="186">
        <f>MIN($AA$130:$AA$147)</f>
        <v>24</v>
      </c>
      <c r="AC130" s="218" t="s">
        <v>289</v>
      </c>
      <c r="AD130" s="187" t="str">
        <f>IFERROR(VLOOKUP(AC130,'Training Matrix'!B$4:C$24,2,0),"")</f>
        <v>Dock Manager</v>
      </c>
      <c r="AE130" s="221">
        <v>45792</v>
      </c>
      <c r="AF130" s="188">
        <f t="shared" si="84"/>
        <v>46522</v>
      </c>
      <c r="AG130" s="189" t="str">
        <f t="shared" ca="1" si="85"/>
        <v>Current</v>
      </c>
      <c r="AH130" s="50" t="str">
        <f t="shared" ref="AH130" si="166">IF(OR(AC130="",AE130=""),"",CONCATENATE(AC130,"_",K130,"_",L130))</f>
        <v>Person 1_ALP.BSP.SOP.008_Chemical handling &amp; storage</v>
      </c>
    </row>
    <row r="131" spans="1:34" ht="60" x14ac:dyDescent="0.25">
      <c r="A131" s="5" t="str">
        <f>IF(LEFT(F131,15)='SOP template'!$B$1,1,"")</f>
        <v/>
      </c>
      <c r="B131" s="190" t="str">
        <f t="shared" ref="B131" si="167">CONCATENATE(LEFT(B130,8),E131)</f>
        <v>SOP.008.2</v>
      </c>
      <c r="C131" s="190" t="str">
        <f>IF(ISBLANK($K131),CONCATENATE(LEFT($B130,8),IF($E131=1,1.1,IF($E131=2,1.4,IF($E131=3,2,IF($E131=4,2.4,IF($E131=5,3,IF($E131=6,3.4,IF($E131=7,4,IF($E131=8,4.4,IF($E131=9,5,IF($E131=10,5.4,IF($E131=11,6,IF($E131=12,6.4,""))))))))))))),CONCATENATE(RIGHT($K131,7),".1"))</f>
        <v>SOP.008.1.4</v>
      </c>
      <c r="D131" s="190" t="str">
        <f>IF(ISBLANK($K131),CONCATENATE(LEFT($B130,8),IF($E131=1,1,IF($E131=2,1.3,IF($E131=3,1.5,IF($E131=4,2,IF($E131=5,2.3,IF($E131=6,2.5,IF($E131=7,3,IF($E131=8,3.3,IF($E131=9,3.5,IF($E131=10,4,IF($E131=11,4.3,IF($E131=12,4.5,""))))))))))))),CONCATENATE(RIGHT($K131,7),".1"))</f>
        <v>SOP.008.1.3</v>
      </c>
      <c r="E131" s="190">
        <f t="shared" si="78"/>
        <v>2</v>
      </c>
      <c r="F131" s="190" t="str">
        <f t="shared" ref="F131" si="168">IF(K131=0,LEFT(F130,16)&amp;TEXT(E131,"00"),K131&amp;"."&amp;TEXT(E131,"00"))</f>
        <v>ALP.BSP.SOP.008.02</v>
      </c>
      <c r="G131" s="190" t="str">
        <f>IF(ISBLANK(N131),"",CONCATENATE(LEFT(F131,15),".",INDEX(Ref!A:A,MATCH(N131,Ref!$K$1:$K$333,0))))</f>
        <v>ALP.BSP.SOP.008.20</v>
      </c>
      <c r="H131" s="180"/>
      <c r="I131" s="217"/>
      <c r="J131" s="180"/>
      <c r="K131" s="181"/>
      <c r="L131" s="182"/>
      <c r="M131" s="182"/>
      <c r="N131" s="183" t="s">
        <v>133</v>
      </c>
      <c r="O131" s="182" t="s">
        <v>498</v>
      </c>
      <c r="P131" s="182" t="s">
        <v>499</v>
      </c>
      <c r="Q131" s="184" t="s">
        <v>92</v>
      </c>
      <c r="R131" s="184" t="s">
        <v>90</v>
      </c>
      <c r="S131" s="185" t="str">
        <f>IFERROR(CLEAN(INDEX('Risk Matrix'!$H$7:$L$11,MATCH($Q131,'Risk Matrix'!$F$7:$F$11,0),MATCH($R131,'Risk Matrix'!$H$6:$L$6,0))),"")</f>
        <v>Medium 2</v>
      </c>
      <c r="T131" s="85" t="str">
        <f>IF(LEFT($B131,7)=RIGHT('SOP template'!$B$1,7),_xlfn.NUMBERVALUE(RIGHT($S131,2)),"")</f>
        <v/>
      </c>
      <c r="U131" s="182" t="s">
        <v>651</v>
      </c>
      <c r="V131" s="182" t="s">
        <v>652</v>
      </c>
      <c r="W131" s="182" t="s">
        <v>653</v>
      </c>
      <c r="X131" s="182" t="s">
        <v>654</v>
      </c>
      <c r="Y131" s="182" t="s">
        <v>655</v>
      </c>
      <c r="Z131" s="182" t="s">
        <v>656</v>
      </c>
      <c r="AA131" s="186">
        <f>IFERROR(VLOOKUP(IFERROR(LEFT(S131,4),""),Ref!$AF$2:$AG$5,2,0),"")</f>
        <v>24</v>
      </c>
      <c r="AB131" s="186"/>
      <c r="AC131" s="218" t="s">
        <v>290</v>
      </c>
      <c r="AD131" s="187" t="str">
        <f>IFERROR(VLOOKUP(AC131,'Training Matrix'!B$4:C$24,2,0),"")</f>
        <v>WHS Team member</v>
      </c>
      <c r="AE131" s="221">
        <v>45792</v>
      </c>
      <c r="AF131" s="188">
        <f t="shared" si="84"/>
        <v>46522</v>
      </c>
      <c r="AG131" s="189" t="str">
        <f t="shared" ca="1" si="85"/>
        <v>Current</v>
      </c>
      <c r="AH131" s="50" t="str">
        <f t="shared" ref="AH131" si="169">IF(OR(AC131="",AE131=""),"",CONCATENATE(AC131,"_",K130,"_",L130))</f>
        <v>Person 2_ALP.BSP.SOP.008_Chemical handling &amp; storage</v>
      </c>
    </row>
    <row r="132" spans="1:34" ht="45" x14ac:dyDescent="0.25">
      <c r="A132" s="5" t="str">
        <f>IF(LEFT(F132,15)='SOP template'!$B$1,1,"")</f>
        <v/>
      </c>
      <c r="B132" s="190" t="str">
        <f t="shared" si="16"/>
        <v>SOP.008.3</v>
      </c>
      <c r="C132" s="190" t="str">
        <f t="shared" ref="C132:C147" si="170">IF(ISBLANK($K132),CONCATENATE(LEFT($B131,8),IF($E132=1,1.1,IF($E132=2,1.4,IF($E132=3,2,IF($E132=4,2.4,IF($E132=5,3,IF($E132=6,3.4,IF($E132=7,4,IF($E132=8,4.4,IF($E132=9,5,IF($E132=10,5.4,IF($E132=11,6,IF($E132=12,6.4,""))))))))))))),CONCATENATE(RIGHT($K132,7),".1"))</f>
        <v>SOP.008.2</v>
      </c>
      <c r="D132" s="190" t="str">
        <f t="shared" ref="D132:D147" si="171">IF(ISBLANK($K132),CONCATENATE(LEFT($B131,8),IF($E132=1,1,IF($E132=2,1.3,IF($E132=3,1.5,IF($E132=4,2,IF($E132=5,2.3,IF($E132=6,2.5,IF($E132=7,3,IF($E132=8,3.3,IF($E132=9,3.5,IF($E132=10,4,IF($E132=11,4.3,IF($E132=12,4.5,""))))))))))))),CONCATENATE(RIGHT($K132,7),".1"))</f>
        <v>SOP.008.1.5</v>
      </c>
      <c r="E132" s="190">
        <f t="shared" si="78"/>
        <v>3</v>
      </c>
      <c r="F132" s="190" t="str">
        <f t="shared" si="18"/>
        <v>ALP.BSP.SOP.008.03</v>
      </c>
      <c r="G132" s="190" t="str">
        <f>IF(ISBLANK(N132),"",CONCATENATE(LEFT(F132,15),".",INDEX(Ref!A:A,MATCH(N132,Ref!$K$1:$K$333,0))))</f>
        <v>ALP.BSP.SOP.008.2</v>
      </c>
      <c r="H132" s="180"/>
      <c r="I132" s="217"/>
      <c r="J132" s="180"/>
      <c r="K132" s="181"/>
      <c r="L132" s="182"/>
      <c r="M132" s="182"/>
      <c r="N132" s="183" t="s">
        <v>94</v>
      </c>
      <c r="O132" s="182" t="s">
        <v>640</v>
      </c>
      <c r="P132" s="182" t="s">
        <v>641</v>
      </c>
      <c r="Q132" s="184" t="s">
        <v>89</v>
      </c>
      <c r="R132" s="184" t="s">
        <v>91</v>
      </c>
      <c r="S132" s="185" t="str">
        <f>IFERROR(CLEAN(INDEX('Risk Matrix'!$H$7:$L$11,MATCH($Q132,'Risk Matrix'!$F$7:$F$11,0),MATCH($R132,'Risk Matrix'!$H$6:$L$6,0))),"")</f>
        <v>Low 1</v>
      </c>
      <c r="T132" s="85" t="str">
        <f>IF(LEFT($B132,7)=RIGHT('SOP template'!$B$1,7),_xlfn.NUMBERVALUE(RIGHT($S132,2)),"")</f>
        <v/>
      </c>
      <c r="U132" s="182" t="s">
        <v>657</v>
      </c>
      <c r="V132" s="182" t="s">
        <v>658</v>
      </c>
      <c r="W132" s="182" t="s">
        <v>659</v>
      </c>
      <c r="X132" s="182" t="s">
        <v>660</v>
      </c>
      <c r="Y132" s="182" t="s">
        <v>661</v>
      </c>
      <c r="Z132" s="182" t="s">
        <v>662</v>
      </c>
      <c r="AA132" s="186">
        <f>IFERROR(VLOOKUP(IFERROR(LEFT(S132,4),""),Ref!$AF$2:$AG$5,2,0),"")</f>
        <v>36</v>
      </c>
      <c r="AB132" s="186"/>
      <c r="AC132" s="218" t="s">
        <v>167</v>
      </c>
      <c r="AD132" s="187" t="str">
        <f>IFERROR(VLOOKUP(AC132,'Training Matrix'!B$4:C$24,2,0),"")</f>
        <v>Bioscience Manager</v>
      </c>
      <c r="AE132" s="221">
        <v>45792</v>
      </c>
      <c r="AF132" s="188">
        <f t="shared" si="84"/>
        <v>46522</v>
      </c>
      <c r="AG132" s="189" t="str">
        <f t="shared" ca="1" si="85"/>
        <v>Current</v>
      </c>
      <c r="AH132" s="50" t="str">
        <f t="shared" ref="AH132" si="172">IF(OR(AC132="",AE132=""),"",CONCATENATE(AC132,"_",K130,"_",L130))</f>
        <v>Person 3_ALP.BSP.SOP.008_Chemical handling &amp; storage</v>
      </c>
    </row>
    <row r="133" spans="1:34" ht="45" x14ac:dyDescent="0.25">
      <c r="A133" s="5" t="str">
        <f>IF(LEFT(F133,15)='SOP template'!$B$1,1,"")</f>
        <v/>
      </c>
      <c r="B133" s="190" t="str">
        <f t="shared" si="16"/>
        <v>SOP.008.4</v>
      </c>
      <c r="C133" s="190" t="str">
        <f t="shared" si="170"/>
        <v>SOP.008.2.4</v>
      </c>
      <c r="D133" s="190" t="str">
        <f t="shared" si="171"/>
        <v>SOP.008.2</v>
      </c>
      <c r="E133" s="190">
        <f t="shared" ref="E133:E196" si="173">IF(ISBLANK($K133),$E132+1,1)</f>
        <v>4</v>
      </c>
      <c r="F133" s="190" t="str">
        <f t="shared" si="18"/>
        <v>ALP.BSP.SOP.008.04</v>
      </c>
      <c r="G133" s="190" t="str">
        <f>IF(ISBLANK(N133),"",CONCATENATE(LEFT(F133,15),".",INDEX(Ref!A:A,MATCH(N133,Ref!$K$1:$K$333,0))))</f>
        <v>ALP.BSP.SOP.008.7</v>
      </c>
      <c r="H133" s="180"/>
      <c r="I133" s="217"/>
      <c r="J133" s="180"/>
      <c r="K133" s="181"/>
      <c r="L133" s="182"/>
      <c r="M133" s="182"/>
      <c r="N133" s="183" t="s">
        <v>88</v>
      </c>
      <c r="O133" s="182" t="s">
        <v>548</v>
      </c>
      <c r="P133" s="182" t="s">
        <v>642</v>
      </c>
      <c r="Q133" s="184" t="s">
        <v>89</v>
      </c>
      <c r="R133" s="184" t="s">
        <v>91</v>
      </c>
      <c r="S133" s="185" t="str">
        <f>IFERROR(CLEAN(INDEX('Risk Matrix'!$H$7:$L$11,MATCH($Q133,'Risk Matrix'!$F$7:$F$11,0),MATCH($R133,'Risk Matrix'!$H$6:$L$6,0))),"")</f>
        <v>Low 1</v>
      </c>
      <c r="T133" s="85" t="str">
        <f>IF(LEFT($B133,7)=RIGHT('SOP template'!$B$1,7),_xlfn.NUMBERVALUE(RIGHT($S133,2)),"")</f>
        <v/>
      </c>
      <c r="U133" s="182" t="s">
        <v>663</v>
      </c>
      <c r="V133" s="182"/>
      <c r="W133" s="182" t="s">
        <v>664</v>
      </c>
      <c r="X133" s="182" t="s">
        <v>665</v>
      </c>
      <c r="Y133" s="182" t="s">
        <v>666</v>
      </c>
      <c r="Z133" s="182" t="s">
        <v>667</v>
      </c>
      <c r="AA133" s="186">
        <f>IFERROR(VLOOKUP(IFERROR(LEFT(S133,4),""),Ref!$AF$2:$AG$5,2,0),"")</f>
        <v>36</v>
      </c>
      <c r="AB133" s="186"/>
      <c r="AC133" s="218" t="s">
        <v>168</v>
      </c>
      <c r="AD133" s="187" t="str">
        <f>IFERROR(VLOOKUP(AC133,'Training Matrix'!B$4:C$24,2,0),"")</f>
        <v>Collection Manager</v>
      </c>
      <c r="AE133" s="221">
        <v>45792</v>
      </c>
      <c r="AF133" s="188">
        <f t="shared" si="84"/>
        <v>46522</v>
      </c>
      <c r="AG133" s="189" t="str">
        <f t="shared" ca="1" si="85"/>
        <v>Current</v>
      </c>
      <c r="AH133" s="50" t="str">
        <f t="shared" ref="AH133" si="174">IF(OR(AC133="",AE133=""),"",CONCATENATE(AC133,"_",K130,"_",L130))</f>
        <v>Person 4_ALP.BSP.SOP.008_Chemical handling &amp; storage</v>
      </c>
    </row>
    <row r="134" spans="1:34" ht="30" x14ac:dyDescent="0.25">
      <c r="A134" s="5" t="str">
        <f>IF(LEFT(F134,15)='SOP template'!$B$1,1,"")</f>
        <v/>
      </c>
      <c r="B134" s="190" t="str">
        <f t="shared" si="16"/>
        <v>SOP.008.5</v>
      </c>
      <c r="C134" s="190" t="str">
        <f t="shared" si="170"/>
        <v>SOP.008.3</v>
      </c>
      <c r="D134" s="190" t="str">
        <f t="shared" si="171"/>
        <v>SOP.008.2.3</v>
      </c>
      <c r="E134" s="190">
        <f t="shared" si="173"/>
        <v>5</v>
      </c>
      <c r="F134" s="190" t="str">
        <f t="shared" si="18"/>
        <v>ALP.BSP.SOP.008.05</v>
      </c>
      <c r="G134" s="190" t="str">
        <f>IF(ISBLANK(N134),"",CONCATENATE(LEFT(F134,15),".",INDEX(Ref!A:A,MATCH(N134,Ref!$K$1:$K$333,0))))</f>
        <v>ALP.BSP.SOP.008.12</v>
      </c>
      <c r="H134" s="180"/>
      <c r="I134" s="217"/>
      <c r="J134" s="180"/>
      <c r="K134" s="181"/>
      <c r="L134" s="182"/>
      <c r="M134" s="182"/>
      <c r="N134" s="183" t="s">
        <v>125</v>
      </c>
      <c r="O134" s="182" t="s">
        <v>643</v>
      </c>
      <c r="P134" s="182" t="s">
        <v>644</v>
      </c>
      <c r="Q134" s="184" t="s">
        <v>89</v>
      </c>
      <c r="R134" s="184" t="s">
        <v>91</v>
      </c>
      <c r="S134" s="185" t="str">
        <f>IFERROR(CLEAN(INDEX('Risk Matrix'!$H$7:$L$11,MATCH($Q134,'Risk Matrix'!$F$7:$F$11,0),MATCH($R134,'Risk Matrix'!$H$6:$L$6,0))),"")</f>
        <v>Low 1</v>
      </c>
      <c r="T134" s="85" t="str">
        <f>IF(LEFT($B134,7)=RIGHT('SOP template'!$B$1,7),_xlfn.NUMBERVALUE(RIGHT($S134,2)),"")</f>
        <v/>
      </c>
      <c r="U134" s="182" t="s">
        <v>668</v>
      </c>
      <c r="V134" s="182"/>
      <c r="W134" s="182"/>
      <c r="X134" s="182" t="s">
        <v>669</v>
      </c>
      <c r="Y134" s="182"/>
      <c r="Z134" s="182" t="s">
        <v>670</v>
      </c>
      <c r="AA134" s="186">
        <f>IFERROR(VLOOKUP(IFERROR(LEFT(S134,4),""),Ref!$AF$2:$AG$5,2,0),"")</f>
        <v>36</v>
      </c>
      <c r="AB134" s="186"/>
      <c r="AC134" s="218" t="s">
        <v>169</v>
      </c>
      <c r="AD134" s="187" t="str">
        <f>IFERROR(VLOOKUP(AC134,'Training Matrix'!B$4:C$24,2,0),"")</f>
        <v>Technician</v>
      </c>
      <c r="AE134" s="221">
        <v>45792</v>
      </c>
      <c r="AF134" s="188">
        <f t="shared" si="84"/>
        <v>46522</v>
      </c>
      <c r="AG134" s="189" t="str">
        <f t="shared" ca="1" si="85"/>
        <v>Current</v>
      </c>
      <c r="AH134" s="50" t="str">
        <f t="shared" ref="AH134" si="175">IF(OR(AC134="",AE134=""),"",CONCATENATE(AC134,"_",K130,"_",L130))</f>
        <v>Person 5_ALP.BSP.SOP.008_Chemical handling &amp; storage</v>
      </c>
    </row>
    <row r="135" spans="1:34" ht="30" x14ac:dyDescent="0.25">
      <c r="A135" s="5" t="str">
        <f>IF(LEFT(F135,15)='SOP template'!$B$1,1,"")</f>
        <v/>
      </c>
      <c r="B135" s="190" t="str">
        <f t="shared" ref="B135:B246" si="176">CONCATENATE(LEFT(B134,8),E135)</f>
        <v>SOP.008.6</v>
      </c>
      <c r="C135" s="190" t="str">
        <f t="shared" si="170"/>
        <v>SOP.008.3.4</v>
      </c>
      <c r="D135" s="190" t="str">
        <f t="shared" si="171"/>
        <v>SOP.008.2.5</v>
      </c>
      <c r="E135" s="190">
        <f t="shared" si="173"/>
        <v>6</v>
      </c>
      <c r="F135" s="190" t="str">
        <f t="shared" ref="F135:F246" si="177">IF(K135=0,LEFT(F134,16)&amp;TEXT(E135,"00"),K135&amp;"."&amp;TEXT(E135,"00"))</f>
        <v>ALP.BSP.SOP.008.06</v>
      </c>
      <c r="G135" s="190" t="str">
        <f>IF(ISBLANK(N135),"",CONCATENATE(LEFT(F135,15),".",INDEX(Ref!A:A,MATCH(N135,Ref!$K$1:$K$333,0))))</f>
        <v>ALP.BSP.SOP.008.26</v>
      </c>
      <c r="H135" s="180"/>
      <c r="I135" s="217"/>
      <c r="J135" s="180"/>
      <c r="K135" s="181"/>
      <c r="L135" s="182"/>
      <c r="M135" s="182"/>
      <c r="N135" s="183" t="s">
        <v>139</v>
      </c>
      <c r="O135" s="182"/>
      <c r="P135" s="182"/>
      <c r="Q135" s="184"/>
      <c r="R135" s="184"/>
      <c r="S135" s="185" t="str">
        <f>IFERROR(CLEAN(INDEX('Risk Matrix'!$H$7:$L$11,MATCH($Q135,'Risk Matrix'!$F$7:$F$11,0),MATCH($R135,'Risk Matrix'!$H$6:$L$6,0))),"")</f>
        <v/>
      </c>
      <c r="T135" s="85" t="str">
        <f>IF(LEFT($B135,7)=RIGHT('SOP template'!$B$1,7),_xlfn.NUMBERVALUE(RIGHT($S135,2)),"")</f>
        <v/>
      </c>
      <c r="U135" s="182" t="s">
        <v>671</v>
      </c>
      <c r="V135" s="182"/>
      <c r="W135" s="182"/>
      <c r="X135" s="182"/>
      <c r="Y135" s="182"/>
      <c r="Z135" s="182"/>
      <c r="AA135" s="186" t="str">
        <f>IFERROR(VLOOKUP(IFERROR(LEFT(S135,4),""),Ref!$AF$2:$AG$5,2,0),"")</f>
        <v/>
      </c>
      <c r="AB135" s="186"/>
      <c r="AC135" s="218" t="s">
        <v>170</v>
      </c>
      <c r="AD135" s="187" t="str">
        <f>IFERROR(VLOOKUP(AC135,'Training Matrix'!B$4:C$24,2,0),"")</f>
        <v>Scientist</v>
      </c>
      <c r="AE135" s="221">
        <v>45792</v>
      </c>
      <c r="AF135" s="188">
        <f t="shared" si="84"/>
        <v>46522</v>
      </c>
      <c r="AG135" s="189" t="str">
        <f t="shared" ca="1" si="85"/>
        <v>Current</v>
      </c>
      <c r="AH135" s="50" t="str">
        <f t="shared" ref="AH135" si="178">IF(OR(AC135="",AE135=""),"",CONCATENATE(AC135,"_",K130,"_",L130))</f>
        <v>Person 6_ALP.BSP.SOP.008_Chemical handling &amp; storage</v>
      </c>
    </row>
    <row r="136" spans="1:34" x14ac:dyDescent="0.25">
      <c r="A136" s="5" t="str">
        <f>IF(LEFT(F136,15)='SOP template'!$B$1,1,"")</f>
        <v/>
      </c>
      <c r="B136" s="190" t="str">
        <f t="shared" si="176"/>
        <v>SOP.008.7</v>
      </c>
      <c r="C136" s="190" t="str">
        <f t="shared" si="170"/>
        <v>SOP.008.4</v>
      </c>
      <c r="D136" s="190" t="str">
        <f t="shared" si="171"/>
        <v>SOP.008.3</v>
      </c>
      <c r="E136" s="190">
        <f t="shared" si="173"/>
        <v>7</v>
      </c>
      <c r="F136" s="190" t="str">
        <f t="shared" si="177"/>
        <v>ALP.BSP.SOP.008.07</v>
      </c>
      <c r="G136" s="190" t="str">
        <f>IF(ISBLANK(N136),"",CONCATENATE(LEFT(F136,15),".",INDEX(Ref!A:A,MATCH(N136,Ref!$K$1:$K$333,0))))</f>
        <v/>
      </c>
      <c r="H136" s="180"/>
      <c r="I136" s="217"/>
      <c r="J136" s="180"/>
      <c r="K136" s="181"/>
      <c r="L136" s="182"/>
      <c r="M136" s="182"/>
      <c r="N136" s="183"/>
      <c r="O136" s="182"/>
      <c r="P136" s="182"/>
      <c r="Q136" s="184"/>
      <c r="R136" s="184"/>
      <c r="S136" s="185" t="str">
        <f>IFERROR(CLEAN(INDEX('Risk Matrix'!$H$7:$L$11,MATCH($Q136,'Risk Matrix'!$F$7:$F$11,0),MATCH($R136,'Risk Matrix'!$H$6:$L$6,0))),"")</f>
        <v/>
      </c>
      <c r="T136" s="85" t="str">
        <f>IF(LEFT($B136,7)=RIGHT('SOP template'!$B$1,7),_xlfn.NUMBERVALUE(RIGHT($S136,2)),"")</f>
        <v/>
      </c>
      <c r="U136" s="182"/>
      <c r="V136" s="182"/>
      <c r="W136" s="182"/>
      <c r="X136" s="182"/>
      <c r="Y136" s="182"/>
      <c r="Z136" s="182"/>
      <c r="AA136" s="186" t="str">
        <f>IFERROR(VLOOKUP(IFERROR(LEFT(S136,4),""),Ref!$AF$2:$AG$5,2,0),"")</f>
        <v/>
      </c>
      <c r="AB136" s="186"/>
      <c r="AC136" s="218"/>
      <c r="AD136" s="187" t="str">
        <f>IFERROR(VLOOKUP(AC136,'Training Matrix'!B$4:C$24,2,0),"")</f>
        <v/>
      </c>
      <c r="AE136" s="221"/>
      <c r="AF136" s="188" t="str">
        <f t="shared" si="84"/>
        <v/>
      </c>
      <c r="AG136" s="189" t="str">
        <f t="shared" ca="1" si="85"/>
        <v/>
      </c>
      <c r="AH136" s="50" t="str">
        <f t="shared" ref="AH136" si="179">IF(OR(AC136="",AE136=""),"",CONCATENATE(AC136,"_",K130,"_",L130))</f>
        <v/>
      </c>
    </row>
    <row r="137" spans="1:34" x14ac:dyDescent="0.25">
      <c r="A137" s="5" t="str">
        <f>IF(LEFT(F137,15)='SOP template'!$B$1,1,"")</f>
        <v/>
      </c>
      <c r="B137" s="190" t="str">
        <f t="shared" si="176"/>
        <v>SOP.008.8</v>
      </c>
      <c r="C137" s="190" t="str">
        <f t="shared" si="170"/>
        <v>SOP.008.4.4</v>
      </c>
      <c r="D137" s="190" t="str">
        <f t="shared" si="171"/>
        <v>SOP.008.3.3</v>
      </c>
      <c r="E137" s="190">
        <f t="shared" si="173"/>
        <v>8</v>
      </c>
      <c r="F137" s="190" t="str">
        <f t="shared" si="177"/>
        <v>ALP.BSP.SOP.008.08</v>
      </c>
      <c r="G137" s="190" t="str">
        <f>IF(ISBLANK(N137),"",CONCATENATE(LEFT(F137,15),".",INDEX(Ref!A:A,MATCH(N137,Ref!$K$1:$K$333,0))))</f>
        <v/>
      </c>
      <c r="H137" s="180"/>
      <c r="I137" s="217"/>
      <c r="J137" s="180"/>
      <c r="K137" s="181"/>
      <c r="L137" s="182"/>
      <c r="M137" s="182"/>
      <c r="N137" s="183"/>
      <c r="O137" s="182"/>
      <c r="P137" s="182"/>
      <c r="Q137" s="184"/>
      <c r="R137" s="184"/>
      <c r="S137" s="185" t="str">
        <f>IFERROR(CLEAN(INDEX('Risk Matrix'!$H$7:$L$11,MATCH($Q137,'Risk Matrix'!$F$7:$F$11,0),MATCH($R137,'Risk Matrix'!$H$6:$L$6,0))),"")</f>
        <v/>
      </c>
      <c r="T137" s="85" t="str">
        <f>IF(LEFT($B137,7)=RIGHT('SOP template'!$B$1,7),_xlfn.NUMBERVALUE(RIGHT($S137,2)),"")</f>
        <v/>
      </c>
      <c r="U137" s="182"/>
      <c r="V137" s="182"/>
      <c r="W137" s="182"/>
      <c r="X137" s="182"/>
      <c r="Y137" s="182"/>
      <c r="Z137" s="182"/>
      <c r="AA137" s="186" t="str">
        <f>IFERROR(VLOOKUP(IFERROR(LEFT(S137,4),""),Ref!$AF$2:$AG$5,2,0),"")</f>
        <v/>
      </c>
      <c r="AB137" s="186"/>
      <c r="AC137" s="218"/>
      <c r="AD137" s="187" t="str">
        <f>IFERROR(VLOOKUP(AC137,'Training Matrix'!B$4:C$24,2,0),"")</f>
        <v/>
      </c>
      <c r="AE137" s="221"/>
      <c r="AF137" s="188" t="str">
        <f t="shared" si="84"/>
        <v/>
      </c>
      <c r="AG137" s="189" t="str">
        <f t="shared" ca="1" si="85"/>
        <v/>
      </c>
      <c r="AH137" s="50" t="str">
        <f t="shared" ref="AH137" si="180">IF(OR(AC137="",AE137=""),"",CONCATENATE(AC137,"_",K130,"_",L130))</f>
        <v/>
      </c>
    </row>
    <row r="138" spans="1:34" x14ac:dyDescent="0.25">
      <c r="A138" s="5" t="str">
        <f>IF(LEFT(F138,15)='SOP template'!$B$1,1,"")</f>
        <v/>
      </c>
      <c r="B138" s="190" t="str">
        <f t="shared" si="176"/>
        <v>SOP.008.9</v>
      </c>
      <c r="C138" s="190" t="str">
        <f t="shared" si="170"/>
        <v>SOP.008.5</v>
      </c>
      <c r="D138" s="190" t="str">
        <f t="shared" si="171"/>
        <v>SOP.008.3.5</v>
      </c>
      <c r="E138" s="190">
        <f t="shared" si="173"/>
        <v>9</v>
      </c>
      <c r="F138" s="190" t="str">
        <f t="shared" si="177"/>
        <v>ALP.BSP.SOP.008.09</v>
      </c>
      <c r="G138" s="190" t="str">
        <f>IF(ISBLANK(N138),"",CONCATENATE(LEFT(F138,15),".",INDEX(Ref!A:A,MATCH(N138,Ref!$K$1:$K$333,0))))</f>
        <v/>
      </c>
      <c r="H138" s="180"/>
      <c r="I138" s="217"/>
      <c r="J138" s="180"/>
      <c r="K138" s="181"/>
      <c r="L138" s="182"/>
      <c r="M138" s="182"/>
      <c r="N138" s="183"/>
      <c r="O138" s="182"/>
      <c r="P138" s="182"/>
      <c r="Q138" s="184"/>
      <c r="R138" s="184"/>
      <c r="S138" s="185" t="str">
        <f>IFERROR(CLEAN(INDEX('Risk Matrix'!$H$7:$L$11,MATCH($Q138,'Risk Matrix'!$F$7:$F$11,0),MATCH($R138,'Risk Matrix'!$H$6:$L$6,0))),"")</f>
        <v/>
      </c>
      <c r="T138" s="85" t="str">
        <f>IF(LEFT($B138,7)=RIGHT('SOP template'!$B$1,7),_xlfn.NUMBERVALUE(RIGHT($S138,2)),"")</f>
        <v/>
      </c>
      <c r="U138" s="182"/>
      <c r="V138" s="182"/>
      <c r="W138" s="182"/>
      <c r="X138" s="182"/>
      <c r="Y138" s="182"/>
      <c r="Z138" s="182"/>
      <c r="AA138" s="186" t="str">
        <f>IFERROR(VLOOKUP(IFERROR(LEFT(S138,4),""),Ref!$AF$2:$AG$5,2,0),"")</f>
        <v/>
      </c>
      <c r="AB138" s="186"/>
      <c r="AC138" s="218"/>
      <c r="AD138" s="187" t="str">
        <f>IFERROR(VLOOKUP(AC138,'Training Matrix'!B$4:C$24,2,0),"")</f>
        <v/>
      </c>
      <c r="AE138" s="221"/>
      <c r="AF138" s="188" t="str">
        <f t="shared" ref="AF138:AF201" si="181">IF(AE138="","",EDATE(AE138,AB$4))</f>
        <v/>
      </c>
      <c r="AG138" s="189" t="str">
        <f t="shared" ref="AG138:AG201" ca="1" si="182">IF(AE138="","",IF(TODAY()&gt;AF138,"Overdue","Current"))</f>
        <v/>
      </c>
      <c r="AH138" s="50" t="str">
        <f t="shared" ref="AH138" si="183">IF(OR(AC138="",AE138=""),"",CONCATENATE(AC138,"_",K130,"_",L130))</f>
        <v/>
      </c>
    </row>
    <row r="139" spans="1:34" x14ac:dyDescent="0.25">
      <c r="A139" s="5" t="str">
        <f>IF(LEFT(F139,15)='SOP template'!$B$1,1,"")</f>
        <v/>
      </c>
      <c r="B139" s="190" t="str">
        <f t="shared" si="176"/>
        <v>SOP.008.10</v>
      </c>
      <c r="C139" s="190" t="str">
        <f t="shared" si="170"/>
        <v>SOP.008.5.4</v>
      </c>
      <c r="D139" s="190" t="str">
        <f t="shared" si="171"/>
        <v>SOP.008.4</v>
      </c>
      <c r="E139" s="190">
        <f t="shared" si="173"/>
        <v>10</v>
      </c>
      <c r="F139" s="190" t="str">
        <f t="shared" si="177"/>
        <v>ALP.BSP.SOP.008.10</v>
      </c>
      <c r="G139" s="190" t="str">
        <f>IF(ISBLANK(N139),"",CONCATENATE(LEFT(F139,15),".",INDEX(Ref!A:A,MATCH(N139,Ref!$K$1:$K$333,0))))</f>
        <v/>
      </c>
      <c r="H139" s="180"/>
      <c r="I139" s="217"/>
      <c r="J139" s="180"/>
      <c r="K139" s="181"/>
      <c r="L139" s="182"/>
      <c r="M139" s="182"/>
      <c r="N139" s="183"/>
      <c r="O139" s="182"/>
      <c r="P139" s="182"/>
      <c r="Q139" s="184"/>
      <c r="R139" s="184"/>
      <c r="S139" s="185" t="str">
        <f>IFERROR(CLEAN(INDEX('Risk Matrix'!$H$7:$L$11,MATCH($Q139,'Risk Matrix'!$F$7:$F$11,0),MATCH($R139,'Risk Matrix'!$H$6:$L$6,0))),"")</f>
        <v/>
      </c>
      <c r="T139" s="85" t="str">
        <f>IF(LEFT($B139,7)=RIGHT('SOP template'!$B$1,7),_xlfn.NUMBERVALUE(RIGHT($S139,2)),"")</f>
        <v/>
      </c>
      <c r="U139" s="182"/>
      <c r="V139" s="182"/>
      <c r="W139" s="182"/>
      <c r="X139" s="182"/>
      <c r="Y139" s="182"/>
      <c r="Z139" s="182"/>
      <c r="AA139" s="186" t="str">
        <f>IFERROR(VLOOKUP(IFERROR(LEFT(S139,4),""),Ref!$AF$2:$AG$5,2,0),"")</f>
        <v/>
      </c>
      <c r="AB139" s="186"/>
      <c r="AC139" s="218"/>
      <c r="AD139" s="187" t="str">
        <f>IFERROR(VLOOKUP(AC139,'Training Matrix'!B$4:C$24,2,0),"")</f>
        <v/>
      </c>
      <c r="AE139" s="221"/>
      <c r="AF139" s="188" t="str">
        <f t="shared" si="181"/>
        <v/>
      </c>
      <c r="AG139" s="189" t="str">
        <f t="shared" ca="1" si="182"/>
        <v/>
      </c>
      <c r="AH139" s="50" t="str">
        <f t="shared" ref="AH139" si="184">IF(OR(AC139="",AE139=""),"",CONCATENATE(AC139,"_",K130,"_",L130))</f>
        <v/>
      </c>
    </row>
    <row r="140" spans="1:34" x14ac:dyDescent="0.25">
      <c r="A140" s="5" t="str">
        <f>IF(LEFT(F140,15)='SOP template'!$B$1,1,"")</f>
        <v/>
      </c>
      <c r="B140" s="190" t="str">
        <f t="shared" ref="B140:B146" si="185">CONCATENATE(LEFT(B139,8),E140)</f>
        <v>SOP.008.11</v>
      </c>
      <c r="C140" s="190" t="str">
        <f t="shared" si="170"/>
        <v>SOP.008.6</v>
      </c>
      <c r="D140" s="190" t="str">
        <f t="shared" si="171"/>
        <v>SOP.008.4.3</v>
      </c>
      <c r="E140" s="190">
        <f t="shared" si="173"/>
        <v>11</v>
      </c>
      <c r="F140" s="190" t="str">
        <f t="shared" ref="F140:F147" si="186">IF(K140=0,LEFT(F139,16)&amp;TEXT(E140,"00"),K140&amp;"."&amp;TEXT(E140,"00"))</f>
        <v>ALP.BSP.SOP.008.11</v>
      </c>
      <c r="G140" s="190" t="str">
        <f>IF(ISBLANK(N140),"",CONCATENATE(LEFT(F140,15),".",INDEX(Ref!A:A,MATCH(N140,Ref!$K$1:$K$333,0))))</f>
        <v/>
      </c>
      <c r="H140" s="180"/>
      <c r="I140" s="217"/>
      <c r="J140" s="180"/>
      <c r="K140" s="181"/>
      <c r="L140" s="182"/>
      <c r="M140" s="182"/>
      <c r="N140" s="183"/>
      <c r="O140" s="182"/>
      <c r="P140" s="182"/>
      <c r="Q140" s="184"/>
      <c r="R140" s="184"/>
      <c r="S140" s="185" t="str">
        <f>IFERROR(CLEAN(INDEX('Risk Matrix'!$H$7:$L$11,MATCH($Q140,'Risk Matrix'!$F$7:$F$11,0),MATCH($R140,'Risk Matrix'!$H$6:$L$6,0))),"")</f>
        <v/>
      </c>
      <c r="T140" s="85" t="str">
        <f>IF(LEFT($B140,7)=RIGHT('SOP template'!$B$1,7),_xlfn.NUMBERVALUE(RIGHT($S140,2)),"")</f>
        <v/>
      </c>
      <c r="U140" s="182"/>
      <c r="V140" s="182"/>
      <c r="W140" s="182"/>
      <c r="X140" s="182"/>
      <c r="Y140" s="182"/>
      <c r="Z140" s="182"/>
      <c r="AA140" s="186" t="str">
        <f>IFERROR(VLOOKUP(IFERROR(LEFT(S140,4),""),Ref!$AF$2:$AG$5,2,0),"")</f>
        <v/>
      </c>
      <c r="AB140" s="186"/>
      <c r="AC140" s="218"/>
      <c r="AD140" s="187" t="str">
        <f>IFERROR(VLOOKUP(AC140,'Training Matrix'!B$4:C$24,2,0),"")</f>
        <v/>
      </c>
      <c r="AE140" s="218"/>
      <c r="AF140" s="188" t="str">
        <f t="shared" si="181"/>
        <v/>
      </c>
      <c r="AG140" s="189" t="str">
        <f t="shared" ca="1" si="182"/>
        <v/>
      </c>
      <c r="AH140" s="50" t="str">
        <f t="shared" ref="AH140" si="187">IF(OR(AC140="",AE140=""),"",CONCATENATE(AC140,"_",K130,"_",L130))</f>
        <v/>
      </c>
    </row>
    <row r="141" spans="1:34" x14ac:dyDescent="0.25">
      <c r="A141" s="5" t="str">
        <f>IF(LEFT(F141,15)='SOP template'!$B$1,1,"")</f>
        <v/>
      </c>
      <c r="B141" s="190" t="str">
        <f t="shared" si="185"/>
        <v>SOP.008.12</v>
      </c>
      <c r="C141" s="190" t="str">
        <f t="shared" si="170"/>
        <v>SOP.008.6.4</v>
      </c>
      <c r="D141" s="190" t="str">
        <f t="shared" si="171"/>
        <v>SOP.008.4.5</v>
      </c>
      <c r="E141" s="190">
        <f t="shared" si="173"/>
        <v>12</v>
      </c>
      <c r="F141" s="190" t="str">
        <f t="shared" si="186"/>
        <v>ALP.BSP.SOP.008.12</v>
      </c>
      <c r="G141" s="190" t="str">
        <f>IF(ISBLANK(N141),"",CONCATENATE(LEFT(F141,15),".",INDEX(Ref!A:A,MATCH(N141,Ref!$K$1:$K$333,0))))</f>
        <v/>
      </c>
      <c r="H141" s="180"/>
      <c r="I141" s="217"/>
      <c r="J141" s="180"/>
      <c r="K141" s="181"/>
      <c r="L141" s="182"/>
      <c r="M141" s="182"/>
      <c r="N141" s="183"/>
      <c r="O141" s="182"/>
      <c r="P141" s="182"/>
      <c r="Q141" s="184"/>
      <c r="R141" s="184"/>
      <c r="S141" s="185" t="str">
        <f>IFERROR(CLEAN(INDEX('Risk Matrix'!$H$7:$L$11,MATCH($Q141,'Risk Matrix'!$F$7:$F$11,0),MATCH($R141,'Risk Matrix'!$H$6:$L$6,0))),"")</f>
        <v/>
      </c>
      <c r="T141" s="85" t="str">
        <f>IF(LEFT($B141,7)=RIGHT('SOP template'!$B$1,7),_xlfn.NUMBERVALUE(RIGHT($S141,2)),"")</f>
        <v/>
      </c>
      <c r="U141" s="182"/>
      <c r="V141" s="182"/>
      <c r="W141" s="182"/>
      <c r="X141" s="182"/>
      <c r="Y141" s="182"/>
      <c r="Z141" s="182"/>
      <c r="AA141" s="186" t="str">
        <f>IFERROR(VLOOKUP(IFERROR(LEFT(S141,4),""),Ref!$AF$2:$AG$5,2,0),"")</f>
        <v/>
      </c>
      <c r="AB141" s="186"/>
      <c r="AC141" s="218"/>
      <c r="AD141" s="187" t="str">
        <f>IFERROR(VLOOKUP(AC141,'Training Matrix'!B$4:C$24,2,0),"")</f>
        <v/>
      </c>
      <c r="AE141" s="218"/>
      <c r="AF141" s="188" t="str">
        <f t="shared" si="181"/>
        <v/>
      </c>
      <c r="AG141" s="189" t="str">
        <f t="shared" ca="1" si="182"/>
        <v/>
      </c>
      <c r="AH141" s="50" t="str">
        <f t="shared" ref="AH141" si="188">IF(OR(AC141="",AE141=""),"",CONCATENATE(AC141,"_",K130,"_",L130))</f>
        <v/>
      </c>
    </row>
    <row r="142" spans="1:34" x14ac:dyDescent="0.25">
      <c r="A142" s="5" t="str">
        <f>IF(LEFT(F142,15)='SOP template'!$B$1,1,"")</f>
        <v/>
      </c>
      <c r="B142" s="190" t="str">
        <f t="shared" si="185"/>
        <v>SOP.008.13</v>
      </c>
      <c r="C142" s="190" t="str">
        <f t="shared" si="170"/>
        <v>SOP.008.</v>
      </c>
      <c r="D142" s="190" t="str">
        <f t="shared" si="171"/>
        <v>SOP.008.</v>
      </c>
      <c r="E142" s="190">
        <f t="shared" si="173"/>
        <v>13</v>
      </c>
      <c r="F142" s="190" t="str">
        <f t="shared" si="186"/>
        <v>ALP.BSP.SOP.008.13</v>
      </c>
      <c r="G142" s="190" t="str">
        <f>IF(ISBLANK(N142),"",CONCATENATE(LEFT(F142,15),".",INDEX(Ref!A:A,MATCH(N142,Ref!$K$1:$K$333,0))))</f>
        <v/>
      </c>
      <c r="H142" s="180"/>
      <c r="I142" s="217"/>
      <c r="J142" s="180"/>
      <c r="K142" s="181"/>
      <c r="L142" s="182"/>
      <c r="M142" s="182"/>
      <c r="N142" s="183"/>
      <c r="O142" s="182"/>
      <c r="P142" s="182"/>
      <c r="Q142" s="184"/>
      <c r="R142" s="184"/>
      <c r="S142" s="185" t="str">
        <f>IFERROR(CLEAN(INDEX('Risk Matrix'!$H$7:$L$11,MATCH($Q142,'Risk Matrix'!$F$7:$F$11,0),MATCH($R142,'Risk Matrix'!$H$6:$L$6,0))),"")</f>
        <v/>
      </c>
      <c r="T142" s="85" t="str">
        <f>IF(LEFT($B142,7)=RIGHT('SOP template'!$B$1,7),_xlfn.NUMBERVALUE(RIGHT($S142,2)),"")</f>
        <v/>
      </c>
      <c r="U142" s="182"/>
      <c r="V142" s="182"/>
      <c r="W142" s="182"/>
      <c r="X142" s="182"/>
      <c r="Y142" s="182"/>
      <c r="Z142" s="182"/>
      <c r="AA142" s="186" t="str">
        <f>IFERROR(VLOOKUP(IFERROR(LEFT(S142,4),""),Ref!$AF$2:$AG$5,2,0),"")</f>
        <v/>
      </c>
      <c r="AB142" s="186"/>
      <c r="AC142" s="218"/>
      <c r="AD142" s="187" t="str">
        <f>IFERROR(VLOOKUP(AC142,'Training Matrix'!B$4:C$24,2,0),"")</f>
        <v/>
      </c>
      <c r="AE142" s="218"/>
      <c r="AF142" s="188" t="str">
        <f t="shared" si="181"/>
        <v/>
      </c>
      <c r="AG142" s="189" t="str">
        <f t="shared" ca="1" si="182"/>
        <v/>
      </c>
      <c r="AH142" s="50" t="str">
        <f t="shared" ref="AH142" si="189">IF(OR(AC142="",AE142=""),"",CONCATENATE(AC142,"_",K130,"_",L130))</f>
        <v/>
      </c>
    </row>
    <row r="143" spans="1:34" x14ac:dyDescent="0.25">
      <c r="A143" s="5" t="str">
        <f>IF(LEFT(F143,15)='SOP template'!$B$1,1,"")</f>
        <v/>
      </c>
      <c r="B143" s="190" t="str">
        <f t="shared" si="185"/>
        <v>SOP.008.14</v>
      </c>
      <c r="C143" s="190" t="str">
        <f t="shared" si="170"/>
        <v>SOP.008.</v>
      </c>
      <c r="D143" s="190" t="str">
        <f t="shared" si="171"/>
        <v>SOP.008.</v>
      </c>
      <c r="E143" s="190">
        <f t="shared" si="173"/>
        <v>14</v>
      </c>
      <c r="F143" s="190" t="str">
        <f t="shared" si="186"/>
        <v>ALP.BSP.SOP.008.14</v>
      </c>
      <c r="G143" s="190" t="str">
        <f>IF(ISBLANK(N143),"",CONCATENATE(LEFT(F143,15),".",INDEX(Ref!A:A,MATCH(N143,Ref!$K$1:$K$333,0))))</f>
        <v/>
      </c>
      <c r="H143" s="180"/>
      <c r="I143" s="217"/>
      <c r="J143" s="180"/>
      <c r="K143" s="181"/>
      <c r="L143" s="182"/>
      <c r="M143" s="182"/>
      <c r="N143" s="183"/>
      <c r="O143" s="182"/>
      <c r="P143" s="182"/>
      <c r="Q143" s="184"/>
      <c r="R143" s="184"/>
      <c r="S143" s="185" t="str">
        <f>IFERROR(CLEAN(INDEX('Risk Matrix'!$H$7:$L$11,MATCH($Q143,'Risk Matrix'!$F$7:$F$11,0),MATCH($R143,'Risk Matrix'!$H$6:$L$6,0))),"")</f>
        <v/>
      </c>
      <c r="T143" s="85" t="str">
        <f>IF(LEFT($B143,7)=RIGHT('SOP template'!$B$1,7),_xlfn.NUMBERVALUE(RIGHT($S143,2)),"")</f>
        <v/>
      </c>
      <c r="U143" s="182"/>
      <c r="V143" s="182"/>
      <c r="W143" s="182"/>
      <c r="X143" s="182"/>
      <c r="Y143" s="182"/>
      <c r="Z143" s="182"/>
      <c r="AA143" s="186" t="str">
        <f>IFERROR(VLOOKUP(IFERROR(LEFT(S143,4),""),Ref!$AF$2:$AG$5,2,0),"")</f>
        <v/>
      </c>
      <c r="AB143" s="186"/>
      <c r="AC143" s="218"/>
      <c r="AD143" s="187" t="str">
        <f>IFERROR(VLOOKUP(AC143,'Training Matrix'!B$4:C$24,2,0),"")</f>
        <v/>
      </c>
      <c r="AE143" s="218"/>
      <c r="AF143" s="188" t="str">
        <f t="shared" si="181"/>
        <v/>
      </c>
      <c r="AG143" s="189" t="str">
        <f t="shared" ca="1" si="182"/>
        <v/>
      </c>
      <c r="AH143" s="50" t="str">
        <f t="shared" ref="AH143" si="190">IF(OR(AC143="",AE143=""),"",CONCATENATE(AC143,"_",K130,"_",L130))</f>
        <v/>
      </c>
    </row>
    <row r="144" spans="1:34" x14ac:dyDescent="0.25">
      <c r="A144" s="5" t="str">
        <f>IF(LEFT(F144,15)='SOP template'!$B$1,1,"")</f>
        <v/>
      </c>
      <c r="B144" s="190" t="str">
        <f t="shared" si="185"/>
        <v>SOP.008.15</v>
      </c>
      <c r="C144" s="190" t="str">
        <f t="shared" si="170"/>
        <v>SOP.008.</v>
      </c>
      <c r="D144" s="190" t="str">
        <f t="shared" si="171"/>
        <v>SOP.008.</v>
      </c>
      <c r="E144" s="190">
        <f t="shared" si="173"/>
        <v>15</v>
      </c>
      <c r="F144" s="190" t="str">
        <f t="shared" si="186"/>
        <v>ALP.BSP.SOP.008.15</v>
      </c>
      <c r="G144" s="190" t="str">
        <f>IF(ISBLANK(N144),"",CONCATENATE(LEFT(F144,15),".",INDEX(Ref!A:A,MATCH(N144,Ref!$K$1:$K$333,0))))</f>
        <v/>
      </c>
      <c r="H144" s="180"/>
      <c r="I144" s="217"/>
      <c r="J144" s="180"/>
      <c r="K144" s="181"/>
      <c r="L144" s="182"/>
      <c r="M144" s="182"/>
      <c r="N144" s="183"/>
      <c r="O144" s="182"/>
      <c r="P144" s="182"/>
      <c r="Q144" s="184"/>
      <c r="R144" s="184"/>
      <c r="S144" s="185" t="str">
        <f>IFERROR(CLEAN(INDEX('Risk Matrix'!$H$7:$L$11,MATCH($Q144,'Risk Matrix'!$F$7:$F$11,0),MATCH($R144,'Risk Matrix'!$H$6:$L$6,0))),"")</f>
        <v/>
      </c>
      <c r="T144" s="85" t="str">
        <f>IF(LEFT($B144,7)=RIGHT('SOP template'!$B$1,7),_xlfn.NUMBERVALUE(RIGHT($S144,2)),"")</f>
        <v/>
      </c>
      <c r="U144" s="182"/>
      <c r="V144" s="182"/>
      <c r="W144" s="182"/>
      <c r="X144" s="182"/>
      <c r="Y144" s="182"/>
      <c r="Z144" s="182"/>
      <c r="AA144" s="186" t="str">
        <f>IFERROR(VLOOKUP(IFERROR(LEFT(S144,4),""),Ref!$AF$2:$AG$5,2,0),"")</f>
        <v/>
      </c>
      <c r="AB144" s="186"/>
      <c r="AC144" s="218"/>
      <c r="AD144" s="187" t="str">
        <f>IFERROR(VLOOKUP(AC144,'Training Matrix'!B$4:C$24,2,0),"")</f>
        <v/>
      </c>
      <c r="AE144" s="218"/>
      <c r="AF144" s="188" t="str">
        <f t="shared" si="181"/>
        <v/>
      </c>
      <c r="AG144" s="189" t="str">
        <f t="shared" ca="1" si="182"/>
        <v/>
      </c>
      <c r="AH144" s="50" t="str">
        <f t="shared" ref="AH144" si="191">IF(OR(AC144="",AE144=""),"",CONCATENATE(AC144,"_",K130,"_",L130))</f>
        <v/>
      </c>
    </row>
    <row r="145" spans="1:34" x14ac:dyDescent="0.25">
      <c r="A145" s="5" t="str">
        <f>IF(LEFT(F145,15)='SOP template'!$B$1,1,"")</f>
        <v/>
      </c>
      <c r="B145" s="190" t="str">
        <f t="shared" si="185"/>
        <v>SOP.008.16</v>
      </c>
      <c r="C145" s="190" t="str">
        <f t="shared" si="170"/>
        <v>SOP.008.</v>
      </c>
      <c r="D145" s="190" t="str">
        <f t="shared" si="171"/>
        <v>SOP.008.</v>
      </c>
      <c r="E145" s="190">
        <f t="shared" si="173"/>
        <v>16</v>
      </c>
      <c r="F145" s="190" t="str">
        <f t="shared" si="186"/>
        <v>ALP.BSP.SOP.008.16</v>
      </c>
      <c r="G145" s="190" t="str">
        <f>IF(ISBLANK(N145),"",CONCATENATE(LEFT(F145,15),".",INDEX(Ref!A:A,MATCH(N145,Ref!$K$1:$K$333,0))))</f>
        <v/>
      </c>
      <c r="H145" s="180"/>
      <c r="I145" s="217"/>
      <c r="J145" s="180"/>
      <c r="K145" s="181"/>
      <c r="L145" s="182"/>
      <c r="M145" s="182"/>
      <c r="N145" s="183"/>
      <c r="O145" s="182"/>
      <c r="P145" s="182"/>
      <c r="Q145" s="184"/>
      <c r="R145" s="184"/>
      <c r="S145" s="185" t="str">
        <f>IFERROR(CLEAN(INDEX('Risk Matrix'!$H$7:$L$11,MATCH($Q145,'Risk Matrix'!$F$7:$F$11,0),MATCH($R145,'Risk Matrix'!$H$6:$L$6,0))),"")</f>
        <v/>
      </c>
      <c r="T145" s="85" t="str">
        <f>IF(LEFT($B145,7)=RIGHT('SOP template'!$B$1,7),_xlfn.NUMBERVALUE(RIGHT($S145,2)),"")</f>
        <v/>
      </c>
      <c r="U145" s="182"/>
      <c r="V145" s="182"/>
      <c r="W145" s="182"/>
      <c r="X145" s="182"/>
      <c r="Y145" s="182"/>
      <c r="Z145" s="182"/>
      <c r="AA145" s="186" t="str">
        <f>IFERROR(VLOOKUP(IFERROR(LEFT(S145,4),""),Ref!$AF$2:$AG$5,2,0),"")</f>
        <v/>
      </c>
      <c r="AB145" s="186"/>
      <c r="AC145" s="218"/>
      <c r="AD145" s="187" t="str">
        <f>IFERROR(VLOOKUP(AC145,'Training Matrix'!B$4:C$24,2,0),"")</f>
        <v/>
      </c>
      <c r="AE145" s="218"/>
      <c r="AF145" s="188" t="str">
        <f t="shared" si="181"/>
        <v/>
      </c>
      <c r="AG145" s="189" t="str">
        <f t="shared" ca="1" si="182"/>
        <v/>
      </c>
      <c r="AH145" s="50" t="str">
        <f t="shared" ref="AH145" si="192">IF(OR(AC145="",AE145=""),"",CONCATENATE(AC145,"_",K130,"_",L130))</f>
        <v/>
      </c>
    </row>
    <row r="146" spans="1:34" x14ac:dyDescent="0.25">
      <c r="A146" s="5" t="str">
        <f>IF(LEFT(F146,15)='SOP template'!$B$1,1,"")</f>
        <v/>
      </c>
      <c r="B146" s="190" t="str">
        <f t="shared" si="185"/>
        <v>SOP.008.17</v>
      </c>
      <c r="C146" s="190" t="str">
        <f t="shared" si="170"/>
        <v>SOP.008.</v>
      </c>
      <c r="D146" s="190" t="str">
        <f t="shared" si="171"/>
        <v>SOP.008.</v>
      </c>
      <c r="E146" s="190">
        <f t="shared" si="173"/>
        <v>17</v>
      </c>
      <c r="F146" s="190" t="str">
        <f t="shared" si="186"/>
        <v>ALP.BSP.SOP.008.17</v>
      </c>
      <c r="G146" s="190" t="str">
        <f>IF(ISBLANK(N146),"",CONCATENATE(LEFT(F146,15),".",INDEX(Ref!A:A,MATCH(N146,Ref!$K$1:$K$333,0))))</f>
        <v/>
      </c>
      <c r="H146" s="180"/>
      <c r="I146" s="217"/>
      <c r="J146" s="180"/>
      <c r="K146" s="181"/>
      <c r="L146" s="182"/>
      <c r="M146" s="182"/>
      <c r="N146" s="183"/>
      <c r="O146" s="182"/>
      <c r="P146" s="182"/>
      <c r="Q146" s="184"/>
      <c r="R146" s="184"/>
      <c r="S146" s="185" t="str">
        <f>IFERROR(CLEAN(INDEX('Risk Matrix'!$H$7:$L$11,MATCH($Q146,'Risk Matrix'!$F$7:$F$11,0),MATCH($R146,'Risk Matrix'!$H$6:$L$6,0))),"")</f>
        <v/>
      </c>
      <c r="T146" s="85" t="str">
        <f>IF(LEFT($B146,7)=RIGHT('SOP template'!$B$1,7),_xlfn.NUMBERVALUE(RIGHT($S146,2)),"")</f>
        <v/>
      </c>
      <c r="U146" s="182"/>
      <c r="V146" s="182"/>
      <c r="W146" s="182"/>
      <c r="X146" s="182"/>
      <c r="Y146" s="182"/>
      <c r="Z146" s="182"/>
      <c r="AA146" s="186" t="str">
        <f>IFERROR(VLOOKUP(IFERROR(LEFT(S146,4),""),Ref!$AF$2:$AG$5,2,0),"")</f>
        <v/>
      </c>
      <c r="AB146" s="186"/>
      <c r="AC146" s="218"/>
      <c r="AD146" s="187" t="str">
        <f>IFERROR(VLOOKUP(AC146,'Training Matrix'!B$4:C$24,2,0),"")</f>
        <v/>
      </c>
      <c r="AE146" s="218"/>
      <c r="AF146" s="188" t="str">
        <f t="shared" si="181"/>
        <v/>
      </c>
      <c r="AG146" s="189" t="str">
        <f t="shared" ca="1" si="182"/>
        <v/>
      </c>
      <c r="AH146" s="50" t="str">
        <f t="shared" ref="AH146" si="193">IF(OR(AC146="",AE146=""),"",CONCATENATE(AC146,"_",K130,"_",L130))</f>
        <v/>
      </c>
    </row>
    <row r="147" spans="1:34" x14ac:dyDescent="0.25">
      <c r="A147" s="5" t="str">
        <f>IF(LEFT(F147,15)='SOP template'!$B$1,1,"")</f>
        <v/>
      </c>
      <c r="B147" s="190" t="str">
        <f>CONCATENATE(LEFT(B146,8),E147)</f>
        <v>SOP.008.18</v>
      </c>
      <c r="C147" s="190" t="str">
        <f t="shared" si="170"/>
        <v>SOP.008.</v>
      </c>
      <c r="D147" s="190" t="str">
        <f t="shared" si="171"/>
        <v>SOP.008.</v>
      </c>
      <c r="E147" s="190">
        <f t="shared" si="173"/>
        <v>18</v>
      </c>
      <c r="F147" s="190" t="str">
        <f t="shared" si="186"/>
        <v>ALP.BSP.SOP.008.18</v>
      </c>
      <c r="G147" s="190" t="str">
        <f>IF(ISBLANK(N147),"",CONCATENATE(LEFT(F147,15),".",INDEX(Ref!A:A,MATCH(N147,Ref!$K$1:$K$333,0))))</f>
        <v/>
      </c>
      <c r="H147" s="180"/>
      <c r="I147" s="217"/>
      <c r="J147" s="180"/>
      <c r="K147" s="181"/>
      <c r="L147" s="182"/>
      <c r="M147" s="182"/>
      <c r="N147" s="183"/>
      <c r="O147" s="182"/>
      <c r="P147" s="182"/>
      <c r="Q147" s="184"/>
      <c r="R147" s="184"/>
      <c r="S147" s="185" t="str">
        <f>IFERROR(CLEAN(INDEX('Risk Matrix'!$H$7:$L$11,MATCH($Q147,'Risk Matrix'!$F$7:$F$11,0),MATCH($R147,'Risk Matrix'!$H$6:$L$6,0))),"")</f>
        <v/>
      </c>
      <c r="T147" s="85" t="str">
        <f>IF(LEFT($B147,7)=RIGHT('SOP template'!$B$1,7),_xlfn.NUMBERVALUE(RIGHT($S147,2)),"")</f>
        <v/>
      </c>
      <c r="U147" s="182"/>
      <c r="V147" s="182"/>
      <c r="W147" s="182"/>
      <c r="X147" s="182"/>
      <c r="Y147" s="182"/>
      <c r="Z147" s="182"/>
      <c r="AA147" s="186" t="str">
        <f>IFERROR(VLOOKUP(IFERROR(LEFT(S147,4),""),Ref!$AF$2:$AG$5,2,0),"")</f>
        <v/>
      </c>
      <c r="AB147" s="186"/>
      <c r="AC147" s="218"/>
      <c r="AD147" s="187" t="str">
        <f>IFERROR(VLOOKUP(AC147,'Training Matrix'!B$4:C$24,2,0),"")</f>
        <v/>
      </c>
      <c r="AE147" s="218"/>
      <c r="AF147" s="188" t="str">
        <f t="shared" si="181"/>
        <v/>
      </c>
      <c r="AG147" s="189" t="str">
        <f t="shared" ca="1" si="182"/>
        <v/>
      </c>
      <c r="AH147" s="50" t="str">
        <f t="shared" ref="AH147" si="194">IF(OR(AC147="",AE147=""),"",CONCATENATE(AC147,"_",K130,"_",L130))</f>
        <v/>
      </c>
    </row>
    <row r="148" spans="1:34" ht="45" x14ac:dyDescent="0.25">
      <c r="A148" s="5" t="str">
        <f>IF(LEFT(F148,15)='SOP template'!$B$1,1,"")</f>
        <v/>
      </c>
      <c r="B148" s="179" t="str">
        <f>IF(ISBLANK($K148),CONCATENATE($B$2,".",TEXT(J148,"000"),".",$E148),CONCATENATE(RIGHT($K148,7),".1"))</f>
        <v>SOP.009.1</v>
      </c>
      <c r="C148" s="179" t="str">
        <f>IF(ISBLANK($K148),CONCATENATE(LEFT($B67,8),IF($E148=1,1.1,IF($E148=2,1.4,IF($E148=3,2,IF($E148=4,2.4,IF($E148=5,3,IF($E148=6,3.4,IF($E148=7,4,IF($E148=8,4.4,IF($E148=9,5,IF($E148=10,5.4,IF($E148=11,6,IF($E148=12,6.4,""))))))))))))),CONCATENATE(RIGHT($K148,7),".1"))</f>
        <v>SOP.009.1</v>
      </c>
      <c r="D148" s="179" t="str">
        <f>IF(ISBLANK($K148),CONCATENATE(LEFT($B67,8),IF($E148=1,1,IF($E148=2,1.3,IF($E148=3,1.5,IF($E148=4,2,IF($E148=5,2.3,IF($E148=6,2.5,IF($E148=7,3,IF($E148=8,3.3,IF($E148=9,3.5,IF($E148=10,4,IF($E148=11,4.3,IF($E148=12,4.5,""))))))))))))),CONCATENATE(RIGHT($K148,7),".1"))</f>
        <v>SOP.009.1</v>
      </c>
      <c r="E148" s="179">
        <f t="shared" si="173"/>
        <v>1</v>
      </c>
      <c r="F148" s="179" t="str">
        <f t="shared" ref="F148" si="195">K148&amp;"."&amp;TEXT(E148,"00")</f>
        <v>ALP.BSP.SOP.009.01</v>
      </c>
      <c r="G148" s="179" t="str">
        <f>IF(ISBLANK(N148),"",CONCATENATE(LEFT(F148,15),".",INDEX(Ref!A:A,MATCH(N148,Ref!$K$1:$K$333,0))))</f>
        <v>ALP.BSP.SOP.009.1</v>
      </c>
      <c r="H148" s="217" t="s">
        <v>394</v>
      </c>
      <c r="I148" s="217" t="s">
        <v>275</v>
      </c>
      <c r="J148" s="180">
        <v>9</v>
      </c>
      <c r="K148" s="181" t="str">
        <f>IFERROR(CONCATENATE(INDEX(Ref!$Z$2:$Z$8,MATCH(H148,Ref!$AA$2:$AA$8,0)),".",I148,".SOP.",TEXT(J148,"000")),CONCATENATE(H148,".",I148,".SOP.",TEXT(J148,"000")))</f>
        <v>ALP.BSP.SOP.009</v>
      </c>
      <c r="L148" s="191" t="s">
        <v>954</v>
      </c>
      <c r="M148" s="182" t="s">
        <v>955</v>
      </c>
      <c r="N148" s="183" t="s">
        <v>117</v>
      </c>
      <c r="O148" s="182" t="s">
        <v>411</v>
      </c>
      <c r="P148" s="182" t="s">
        <v>636</v>
      </c>
      <c r="Q148" s="184" t="s">
        <v>89</v>
      </c>
      <c r="R148" s="184" t="s">
        <v>90</v>
      </c>
      <c r="S148" s="185" t="str">
        <f>IFERROR(CLEAN(INDEX('Risk Matrix'!$H$7:$L$11,MATCH($Q148,'Risk Matrix'!$F$7:$F$11,0),MATCH($R148,'Risk Matrix'!$H$6:$L$6,0))),"")</f>
        <v>Medium 2</v>
      </c>
      <c r="T148" s="85" t="str">
        <f>IF(LEFT($B148,7)=RIGHT('SOP template'!$B$1,7),_xlfn.NUMBERVALUE(RIGHT($S148,2)),"")</f>
        <v/>
      </c>
      <c r="U148" s="182" t="s">
        <v>645</v>
      </c>
      <c r="V148" s="182" t="s">
        <v>672</v>
      </c>
      <c r="W148" s="182" t="s">
        <v>673</v>
      </c>
      <c r="X148" s="182" t="s">
        <v>674</v>
      </c>
      <c r="Y148" s="182" t="s">
        <v>675</v>
      </c>
      <c r="Z148" s="182" t="s">
        <v>676</v>
      </c>
      <c r="AA148" s="186">
        <f>IFERROR(VLOOKUP(IFERROR(LEFT(S148,4),""),Ref!$AF$2:$AG$5,2,0),"")</f>
        <v>24</v>
      </c>
      <c r="AB148" s="186">
        <f>MIN($AA$148:$AA$165)</f>
        <v>24</v>
      </c>
      <c r="AC148" s="218" t="s">
        <v>289</v>
      </c>
      <c r="AD148" s="187" t="str">
        <f>IFERROR(VLOOKUP(AC148,'Training Matrix'!B$4:C$24,2,0),"")</f>
        <v>Dock Manager</v>
      </c>
      <c r="AE148" s="221">
        <v>45792</v>
      </c>
      <c r="AF148" s="188">
        <f t="shared" si="181"/>
        <v>46522</v>
      </c>
      <c r="AG148" s="189" t="str">
        <f t="shared" ca="1" si="182"/>
        <v>Current</v>
      </c>
      <c r="AH148" s="50" t="str">
        <f t="shared" ref="AH148" si="196">IF(OR(AC148="",AE148=""),"",CONCATENATE(AC148,"_",K148,"_",L148))</f>
        <v>Person 1_ALP.BSP.SOP.009_Fume cupboard</v>
      </c>
    </row>
    <row r="149" spans="1:34" ht="45" x14ac:dyDescent="0.25">
      <c r="A149" s="5" t="str">
        <f>IF(LEFT(F149,15)='SOP template'!$B$1,1,"")</f>
        <v/>
      </c>
      <c r="B149" s="190" t="str">
        <f>CONCATENATE(LEFT(B148,8),E149)</f>
        <v>SOP.009.2</v>
      </c>
      <c r="C149" s="190" t="str">
        <f>IF(ISBLANK($K149),CONCATENATE(LEFT($B148,8),IF($E149=1,1.1,IF($E149=2,1.4,IF($E149=3,2,IF($E149=4,2.4,IF($E149=5,3,IF($E149=6,3.4,IF($E149=7,4,IF($E149=8,4.4,IF($E149=9,5,IF($E149=10,5.4,IF($E149=11,6,IF($E149=12,6.4,""))))))))))))),CONCATENATE(RIGHT($K149,7),".1"))</f>
        <v>SOP.009.1.4</v>
      </c>
      <c r="D149" s="190" t="str">
        <f>IF(ISBLANK($K149),CONCATENATE(LEFT($B148,8),IF($E149=1,1,IF($E149=2,1.3,IF($E149=3,1.5,IF($E149=4,2,IF($E149=5,2.3,IF($E149=6,2.5,IF($E149=7,3,IF($E149=8,3.3,IF($E149=9,3.5,IF($E149=10,4,IF($E149=11,4.3,IF($E149=12,4.5,""))))))))))))),CONCATENATE(RIGHT($K149,7),".1"))</f>
        <v>SOP.009.1.3</v>
      </c>
      <c r="E149" s="190">
        <f t="shared" si="173"/>
        <v>2</v>
      </c>
      <c r="F149" s="190" t="str">
        <f t="shared" ref="F149" si="197">IF(K149=0,LEFT(F148,16)&amp;TEXT(E149,"00"),K149&amp;"."&amp;TEXT(E149,"00"))</f>
        <v>ALP.BSP.SOP.009.02</v>
      </c>
      <c r="G149" s="190" t="str">
        <f>IF(ISBLANK(N149),"",CONCATENATE(LEFT(F149,15),".",INDEX(Ref!A:A,MATCH(N149,Ref!$K$1:$K$333,0))))</f>
        <v>ALP.BSP.SOP.009.4</v>
      </c>
      <c r="H149" s="180"/>
      <c r="I149" s="217"/>
      <c r="J149" s="180"/>
      <c r="K149" s="181"/>
      <c r="L149" s="182"/>
      <c r="M149" s="182"/>
      <c r="N149" s="183" t="s">
        <v>119</v>
      </c>
      <c r="O149" s="182" t="s">
        <v>498</v>
      </c>
      <c r="P149" s="182" t="s">
        <v>499</v>
      </c>
      <c r="Q149" s="184" t="s">
        <v>92</v>
      </c>
      <c r="R149" s="184" t="s">
        <v>90</v>
      </c>
      <c r="S149" s="185" t="str">
        <f>IFERROR(CLEAN(INDEX('Risk Matrix'!$H$7:$L$11,MATCH($Q149,'Risk Matrix'!$F$7:$F$11,0),MATCH($R149,'Risk Matrix'!$H$6:$L$6,0))),"")</f>
        <v>Medium 2</v>
      </c>
      <c r="T149" s="85" t="str">
        <f>IF(LEFT($B149,7)=RIGHT('SOP template'!$B$1,7),_xlfn.NUMBERVALUE(RIGHT($S149,2)),"")</f>
        <v/>
      </c>
      <c r="U149" s="182" t="s">
        <v>677</v>
      </c>
      <c r="V149" s="182" t="s">
        <v>678</v>
      </c>
      <c r="W149" s="182" t="s">
        <v>679</v>
      </c>
      <c r="X149" s="182" t="s">
        <v>680</v>
      </c>
      <c r="Y149" s="182" t="s">
        <v>681</v>
      </c>
      <c r="Z149" s="182" t="s">
        <v>682</v>
      </c>
      <c r="AA149" s="186">
        <f>IFERROR(VLOOKUP(IFERROR(LEFT(S149,4),""),Ref!$AF$2:$AG$5,2,0),"")</f>
        <v>24</v>
      </c>
      <c r="AB149" s="186"/>
      <c r="AC149" s="218" t="s">
        <v>290</v>
      </c>
      <c r="AD149" s="187" t="str">
        <f>IFERROR(VLOOKUP(AC149,'Training Matrix'!B$4:C$24,2,0),"")</f>
        <v>WHS Team member</v>
      </c>
      <c r="AE149" s="221">
        <v>45792</v>
      </c>
      <c r="AF149" s="188">
        <f t="shared" si="181"/>
        <v>46522</v>
      </c>
      <c r="AG149" s="189" t="str">
        <f t="shared" ca="1" si="182"/>
        <v>Current</v>
      </c>
      <c r="AH149" s="50" t="str">
        <f t="shared" ref="AH149" si="198">IF(OR(AC149="",AE149=""),"",CONCATENATE(AC149,"_",K148,"_",L148))</f>
        <v>Person 2_ALP.BSP.SOP.009_Fume cupboard</v>
      </c>
    </row>
    <row r="150" spans="1:34" ht="45" x14ac:dyDescent="0.25">
      <c r="A150" s="5" t="str">
        <f>IF(LEFT(F150,15)='SOP template'!$B$1,1,"")</f>
        <v/>
      </c>
      <c r="B150" s="190" t="str">
        <f t="shared" si="176"/>
        <v>SOP.009.3</v>
      </c>
      <c r="C150" s="190" t="str">
        <f t="shared" ref="C150:C165" si="199">IF(ISBLANK($K150),CONCATENATE(LEFT($B149,8),IF($E150=1,1.1,IF($E150=2,1.4,IF($E150=3,2,IF($E150=4,2.4,IF($E150=5,3,IF($E150=6,3.4,IF($E150=7,4,IF($E150=8,4.4,IF($E150=9,5,IF($E150=10,5.4,IF($E150=11,6,IF($E150=12,6.4,""))))))))))))),CONCATENATE(RIGHT($K150,7),".1"))</f>
        <v>SOP.009.2</v>
      </c>
      <c r="D150" s="190" t="str">
        <f t="shared" ref="D150:D165" si="200">IF(ISBLANK($K150),CONCATENATE(LEFT($B149,8),IF($E150=1,1,IF($E150=2,1.3,IF($E150=3,1.5,IF($E150=4,2,IF($E150=5,2.3,IF($E150=6,2.5,IF($E150=7,3,IF($E150=8,3.3,IF($E150=9,3.5,IF($E150=10,4,IF($E150=11,4.3,IF($E150=12,4.5,""))))))))))))),CONCATENATE(RIGHT($K150,7),".1"))</f>
        <v>SOP.009.1.5</v>
      </c>
      <c r="E150" s="190">
        <f t="shared" si="173"/>
        <v>3</v>
      </c>
      <c r="F150" s="190" t="str">
        <f>IF(K150=0,LEFT(F149,16)&amp;TEXT(E150,"00"),K150&amp;"."&amp;TEXT(E150,"00"))</f>
        <v>ALP.BSP.SOP.009.03</v>
      </c>
      <c r="G150" s="190" t="str">
        <f>IF(ISBLANK(N150),"",CONCATENATE(LEFT(F150,15),".",INDEX(Ref!A:A,MATCH(N150,Ref!$K$1:$K$333,0))))</f>
        <v>ALP.BSP.SOP.009.7</v>
      </c>
      <c r="H150" s="180"/>
      <c r="I150" s="217"/>
      <c r="J150" s="180"/>
      <c r="K150" s="181"/>
      <c r="L150" s="182"/>
      <c r="M150" s="182"/>
      <c r="N150" s="183" t="s">
        <v>88</v>
      </c>
      <c r="O150" s="182" t="s">
        <v>956</v>
      </c>
      <c r="P150" s="182" t="s">
        <v>418</v>
      </c>
      <c r="Q150" s="184" t="s">
        <v>89</v>
      </c>
      <c r="R150" s="184" t="s">
        <v>91</v>
      </c>
      <c r="S150" s="185" t="str">
        <f>IFERROR(CLEAN(INDEX('Risk Matrix'!$H$7:$L$11,MATCH($Q150,'Risk Matrix'!$F$7:$F$11,0),MATCH($R150,'Risk Matrix'!$H$6:$L$6,0))),"")</f>
        <v>Low 1</v>
      </c>
      <c r="T150" s="85" t="str">
        <f>IF(LEFT($B150,7)=RIGHT('SOP template'!$B$1,7),_xlfn.NUMBERVALUE(RIGHT($S150,2)),"")</f>
        <v/>
      </c>
      <c r="U150" s="182" t="s">
        <v>683</v>
      </c>
      <c r="V150" s="182" t="s">
        <v>684</v>
      </c>
      <c r="W150" s="182" t="s">
        <v>685</v>
      </c>
      <c r="X150" s="182" t="s">
        <v>686</v>
      </c>
      <c r="Y150" s="182" t="s">
        <v>687</v>
      </c>
      <c r="Z150" s="182" t="s">
        <v>688</v>
      </c>
      <c r="AA150" s="186">
        <f>IFERROR(VLOOKUP(IFERROR(LEFT(S150,4),""),Ref!$AF$2:$AG$5,2,0),"")</f>
        <v>36</v>
      </c>
      <c r="AB150" s="186"/>
      <c r="AC150" s="218" t="s">
        <v>167</v>
      </c>
      <c r="AD150" s="187" t="str">
        <f>IFERROR(VLOOKUP(AC150,'Training Matrix'!B$4:C$24,2,0),"")</f>
        <v>Bioscience Manager</v>
      </c>
      <c r="AE150" s="221">
        <v>45792</v>
      </c>
      <c r="AF150" s="188">
        <f t="shared" si="181"/>
        <v>46522</v>
      </c>
      <c r="AG150" s="189" t="str">
        <f t="shared" ca="1" si="182"/>
        <v>Current</v>
      </c>
      <c r="AH150" s="50" t="str">
        <f t="shared" ref="AH150" si="201">IF(OR(AC150="",AE150=""),"",CONCATENATE(AC150,"_",K148,"_",L148))</f>
        <v>Person 3_ALP.BSP.SOP.009_Fume cupboard</v>
      </c>
    </row>
    <row r="151" spans="1:34" ht="45" x14ac:dyDescent="0.25">
      <c r="A151" s="5" t="str">
        <f>IF(LEFT(F151,15)='SOP template'!$B$1,1,"")</f>
        <v/>
      </c>
      <c r="B151" s="190" t="str">
        <f t="shared" si="176"/>
        <v>SOP.009.4</v>
      </c>
      <c r="C151" s="190" t="str">
        <f t="shared" si="199"/>
        <v>SOP.009.2.4</v>
      </c>
      <c r="D151" s="190" t="str">
        <f t="shared" si="200"/>
        <v>SOP.009.2</v>
      </c>
      <c r="E151" s="190">
        <f t="shared" si="173"/>
        <v>4</v>
      </c>
      <c r="F151" s="190" t="str">
        <f t="shared" si="177"/>
        <v>ALP.BSP.SOP.009.04</v>
      </c>
      <c r="G151" s="190" t="str">
        <f>IF(ISBLANK(N151),"",CONCATENATE(LEFT(F151,15),".",INDEX(Ref!A:A,MATCH(N151,Ref!$K$1:$K$333,0))))</f>
        <v>ALP.BSP.SOP.009.11</v>
      </c>
      <c r="H151" s="180"/>
      <c r="I151" s="217"/>
      <c r="J151" s="180"/>
      <c r="K151" s="181"/>
      <c r="L151" s="182"/>
      <c r="M151" s="182"/>
      <c r="N151" s="183" t="s">
        <v>95</v>
      </c>
      <c r="O151" s="182" t="s">
        <v>548</v>
      </c>
      <c r="P151" s="182" t="s">
        <v>549</v>
      </c>
      <c r="Q151" s="184" t="s">
        <v>89</v>
      </c>
      <c r="R151" s="184" t="s">
        <v>91</v>
      </c>
      <c r="S151" s="185" t="str">
        <f>IFERROR(CLEAN(INDEX('Risk Matrix'!$H$7:$L$11,MATCH($Q151,'Risk Matrix'!$F$7:$F$11,0),MATCH($R151,'Risk Matrix'!$H$6:$L$6,0))),"")</f>
        <v>Low 1</v>
      </c>
      <c r="T151" s="85" t="str">
        <f>IF(LEFT($B151,7)=RIGHT('SOP template'!$B$1,7),_xlfn.NUMBERVALUE(RIGHT($S151,2)),"")</f>
        <v/>
      </c>
      <c r="U151" s="182" t="s">
        <v>663</v>
      </c>
      <c r="V151" s="182"/>
      <c r="W151" s="182" t="s">
        <v>689</v>
      </c>
      <c r="X151" s="182" t="s">
        <v>690</v>
      </c>
      <c r="Y151" s="182" t="s">
        <v>691</v>
      </c>
      <c r="Z151" s="182"/>
      <c r="AA151" s="186">
        <f>IFERROR(VLOOKUP(IFERROR(LEFT(S151,4),""),Ref!$AF$2:$AG$5,2,0),"")</f>
        <v>36</v>
      </c>
      <c r="AB151" s="186"/>
      <c r="AC151" s="218" t="s">
        <v>168</v>
      </c>
      <c r="AD151" s="187" t="str">
        <f>IFERROR(VLOOKUP(AC151,'Training Matrix'!B$4:C$24,2,0),"")</f>
        <v>Collection Manager</v>
      </c>
      <c r="AE151" s="221">
        <v>45792</v>
      </c>
      <c r="AF151" s="188">
        <f t="shared" si="181"/>
        <v>46522</v>
      </c>
      <c r="AG151" s="189" t="str">
        <f t="shared" ca="1" si="182"/>
        <v>Current</v>
      </c>
      <c r="AH151" s="50" t="str">
        <f t="shared" ref="AH151" si="202">IF(OR(AC151="",AE151=""),"",CONCATENATE(AC151,"_",K148,"_",L148))</f>
        <v>Person 4_ALP.BSP.SOP.009_Fume cupboard</v>
      </c>
    </row>
    <row r="152" spans="1:34" ht="30" x14ac:dyDescent="0.25">
      <c r="A152" s="5" t="str">
        <f>IF(LEFT(F152,15)='SOP template'!$B$1,1,"")</f>
        <v/>
      </c>
      <c r="B152" s="190" t="str">
        <f t="shared" si="176"/>
        <v>SOP.009.5</v>
      </c>
      <c r="C152" s="190" t="str">
        <f t="shared" si="199"/>
        <v>SOP.009.3</v>
      </c>
      <c r="D152" s="190" t="str">
        <f t="shared" si="200"/>
        <v>SOP.009.2.3</v>
      </c>
      <c r="E152" s="190">
        <f t="shared" si="173"/>
        <v>5</v>
      </c>
      <c r="F152" s="190" t="str">
        <f t="shared" si="177"/>
        <v>ALP.BSP.SOP.009.05</v>
      </c>
      <c r="G152" s="190" t="str">
        <f>IF(ISBLANK(N152),"",CONCATENATE(LEFT(F152,15),".",INDEX(Ref!A:A,MATCH(N152,Ref!$K$1:$K$333,0))))</f>
        <v>ALP.BSP.SOP.009.20</v>
      </c>
      <c r="H152" s="180"/>
      <c r="I152" s="217"/>
      <c r="J152" s="180"/>
      <c r="K152" s="181"/>
      <c r="L152" s="182"/>
      <c r="M152" s="182"/>
      <c r="N152" s="183" t="s">
        <v>133</v>
      </c>
      <c r="O152" s="182"/>
      <c r="P152" s="182"/>
      <c r="Q152" s="184"/>
      <c r="R152" s="184"/>
      <c r="S152" s="185" t="str">
        <f>IFERROR(CLEAN(INDEX('Risk Matrix'!$H$7:$L$11,MATCH($Q152,'Risk Matrix'!$F$7:$F$11,0),MATCH($R152,'Risk Matrix'!$H$6:$L$6,0))),"")</f>
        <v/>
      </c>
      <c r="T152" s="85" t="str">
        <f>IF(LEFT($B152,7)=RIGHT('SOP template'!$B$1,7),_xlfn.NUMBERVALUE(RIGHT($S152,2)),"")</f>
        <v/>
      </c>
      <c r="U152" s="182"/>
      <c r="V152" s="182"/>
      <c r="W152" s="182"/>
      <c r="X152" s="182"/>
      <c r="Y152" s="182" t="s">
        <v>692</v>
      </c>
      <c r="Z152" s="182"/>
      <c r="AA152" s="186" t="str">
        <f>IFERROR(VLOOKUP(IFERROR(LEFT(S152,4),""),Ref!$AF$2:$AG$5,2,0),"")</f>
        <v/>
      </c>
      <c r="AB152" s="186"/>
      <c r="AC152" s="218" t="s">
        <v>169</v>
      </c>
      <c r="AD152" s="187" t="str">
        <f>IFERROR(VLOOKUP(AC152,'Training Matrix'!B$4:C$24,2,0),"")</f>
        <v>Technician</v>
      </c>
      <c r="AE152" s="221">
        <v>45792</v>
      </c>
      <c r="AF152" s="188">
        <f t="shared" si="181"/>
        <v>46522</v>
      </c>
      <c r="AG152" s="189" t="str">
        <f t="shared" ca="1" si="182"/>
        <v>Current</v>
      </c>
      <c r="AH152" s="50" t="str">
        <f t="shared" ref="AH152" si="203">IF(OR(AC152="",AE152=""),"",CONCATENATE(AC152,"_",K148,"_",L148))</f>
        <v>Person 5_ALP.BSP.SOP.009_Fume cupboard</v>
      </c>
    </row>
    <row r="153" spans="1:34" ht="30" x14ac:dyDescent="0.25">
      <c r="A153" s="5" t="str">
        <f>IF(LEFT(F153,15)='SOP template'!$B$1,1,"")</f>
        <v/>
      </c>
      <c r="B153" s="190" t="str">
        <f t="shared" si="176"/>
        <v>SOP.009.6</v>
      </c>
      <c r="C153" s="190" t="str">
        <f t="shared" si="199"/>
        <v>SOP.009.3.4</v>
      </c>
      <c r="D153" s="190" t="str">
        <f t="shared" si="200"/>
        <v>SOP.009.2.5</v>
      </c>
      <c r="E153" s="190">
        <f t="shared" si="173"/>
        <v>6</v>
      </c>
      <c r="F153" s="190" t="str">
        <f t="shared" si="177"/>
        <v>ALP.BSP.SOP.009.06</v>
      </c>
      <c r="G153" s="190" t="str">
        <f>IF(ISBLANK(N153),"",CONCATENATE(LEFT(F153,15),".",INDEX(Ref!A:A,MATCH(N153,Ref!$K$1:$K$333,0))))</f>
        <v/>
      </c>
      <c r="H153" s="180"/>
      <c r="I153" s="217"/>
      <c r="J153" s="180"/>
      <c r="K153" s="181"/>
      <c r="L153" s="182"/>
      <c r="M153" s="182"/>
      <c r="N153" s="183"/>
      <c r="O153" s="182"/>
      <c r="P153" s="182"/>
      <c r="Q153" s="184"/>
      <c r="R153" s="184"/>
      <c r="S153" s="185" t="str">
        <f>IFERROR(CLEAN(INDEX('Risk Matrix'!$H$7:$L$11,MATCH($Q153,'Risk Matrix'!$F$7:$F$11,0),MATCH($R153,'Risk Matrix'!$H$6:$L$6,0))),"")</f>
        <v/>
      </c>
      <c r="T153" s="85" t="str">
        <f>IF(LEFT($B153,7)=RIGHT('SOP template'!$B$1,7),_xlfn.NUMBERVALUE(RIGHT($S153,2)),"")</f>
        <v/>
      </c>
      <c r="U153" s="182"/>
      <c r="V153" s="182"/>
      <c r="W153" s="182"/>
      <c r="X153" s="182"/>
      <c r="Y153" s="182" t="s">
        <v>693</v>
      </c>
      <c r="Z153" s="182"/>
      <c r="AA153" s="186" t="str">
        <f>IFERROR(VLOOKUP(IFERROR(LEFT(S153,4),""),Ref!$AF$2:$AG$5,2,0),"")</f>
        <v/>
      </c>
      <c r="AB153" s="186"/>
      <c r="AC153" s="218" t="s">
        <v>170</v>
      </c>
      <c r="AD153" s="187" t="str">
        <f>IFERROR(VLOOKUP(AC153,'Training Matrix'!B$4:C$24,2,0),"")</f>
        <v>Scientist</v>
      </c>
      <c r="AE153" s="221">
        <v>45792</v>
      </c>
      <c r="AF153" s="188">
        <f t="shared" si="181"/>
        <v>46522</v>
      </c>
      <c r="AG153" s="189" t="str">
        <f t="shared" ca="1" si="182"/>
        <v>Current</v>
      </c>
      <c r="AH153" s="50" t="str">
        <f t="shared" ref="AH153" si="204">IF(OR(AC153="",AE153=""),"",CONCATENATE(AC153,"_",K148,"_",L148))</f>
        <v>Person 6_ALP.BSP.SOP.009_Fume cupboard</v>
      </c>
    </row>
    <row r="154" spans="1:34" ht="45" x14ac:dyDescent="0.25">
      <c r="A154" s="5" t="str">
        <f>IF(LEFT(F154,15)='SOP template'!$B$1,1,"")</f>
        <v/>
      </c>
      <c r="B154" s="190" t="str">
        <f t="shared" si="176"/>
        <v>SOP.009.7</v>
      </c>
      <c r="C154" s="190" t="str">
        <f t="shared" si="199"/>
        <v>SOP.009.4</v>
      </c>
      <c r="D154" s="190" t="str">
        <f t="shared" si="200"/>
        <v>SOP.009.3</v>
      </c>
      <c r="E154" s="190">
        <f t="shared" si="173"/>
        <v>7</v>
      </c>
      <c r="F154" s="190" t="str">
        <f t="shared" si="177"/>
        <v>ALP.BSP.SOP.009.07</v>
      </c>
      <c r="G154" s="190" t="str">
        <f>IF(ISBLANK(N154),"",CONCATENATE(LEFT(F154,15),".",INDEX(Ref!A:A,MATCH(N154,Ref!$K$1:$K$333,0))))</f>
        <v/>
      </c>
      <c r="H154" s="180"/>
      <c r="I154" s="217"/>
      <c r="J154" s="180"/>
      <c r="K154" s="181"/>
      <c r="L154" s="182"/>
      <c r="M154" s="182"/>
      <c r="N154" s="183"/>
      <c r="O154" s="182"/>
      <c r="P154" s="182"/>
      <c r="Q154" s="184"/>
      <c r="R154" s="184"/>
      <c r="S154" s="185" t="str">
        <f>IFERROR(CLEAN(INDEX('Risk Matrix'!$H$7:$L$11,MATCH($Q154,'Risk Matrix'!$F$7:$F$11,0),MATCH($R154,'Risk Matrix'!$H$6:$L$6,0))),"")</f>
        <v/>
      </c>
      <c r="T154" s="85" t="str">
        <f>IF(LEFT($B154,7)=RIGHT('SOP template'!$B$1,7),_xlfn.NUMBERVALUE(RIGHT($S154,2)),"")</f>
        <v/>
      </c>
      <c r="U154" s="182"/>
      <c r="V154" s="182"/>
      <c r="W154" s="182"/>
      <c r="X154" s="182"/>
      <c r="Y154" s="182" t="s">
        <v>694</v>
      </c>
      <c r="Z154" s="182"/>
      <c r="AA154" s="186" t="str">
        <f>IFERROR(VLOOKUP(IFERROR(LEFT(S154,4),""),Ref!$AF$2:$AG$5,2,0),"")</f>
        <v/>
      </c>
      <c r="AB154" s="186"/>
      <c r="AC154" s="218"/>
      <c r="AD154" s="187" t="str">
        <f>IFERROR(VLOOKUP(AC154,'Training Matrix'!B$4:C$24,2,0),"")</f>
        <v/>
      </c>
      <c r="AE154" s="221"/>
      <c r="AF154" s="188" t="str">
        <f t="shared" si="181"/>
        <v/>
      </c>
      <c r="AG154" s="189" t="str">
        <f t="shared" ca="1" si="182"/>
        <v/>
      </c>
      <c r="AH154" s="50" t="str">
        <f t="shared" ref="AH154" si="205">IF(OR(AC154="",AE154=""),"",CONCATENATE(AC154,"_",K148,"_",L148))</f>
        <v/>
      </c>
    </row>
    <row r="155" spans="1:34" x14ac:dyDescent="0.25">
      <c r="A155" s="5" t="str">
        <f>IF(LEFT(F155,15)='SOP template'!$B$1,1,"")</f>
        <v/>
      </c>
      <c r="B155" s="190" t="str">
        <f t="shared" si="176"/>
        <v>SOP.009.8</v>
      </c>
      <c r="C155" s="190" t="str">
        <f t="shared" si="199"/>
        <v>SOP.009.4.4</v>
      </c>
      <c r="D155" s="190" t="str">
        <f t="shared" si="200"/>
        <v>SOP.009.3.3</v>
      </c>
      <c r="E155" s="190">
        <f t="shared" si="173"/>
        <v>8</v>
      </c>
      <c r="F155" s="190" t="str">
        <f t="shared" si="177"/>
        <v>ALP.BSP.SOP.009.08</v>
      </c>
      <c r="G155" s="190" t="str">
        <f>IF(ISBLANK(N155),"",CONCATENATE(LEFT(F155,15),".",INDEX(Ref!A:A,MATCH(N155,Ref!$K$1:$K$333,0))))</f>
        <v/>
      </c>
      <c r="H155" s="180"/>
      <c r="I155" s="217"/>
      <c r="J155" s="180"/>
      <c r="K155" s="181"/>
      <c r="L155" s="182"/>
      <c r="M155" s="182"/>
      <c r="N155" s="183"/>
      <c r="O155" s="182"/>
      <c r="P155" s="182"/>
      <c r="Q155" s="184"/>
      <c r="R155" s="184"/>
      <c r="S155" s="185" t="str">
        <f>IFERROR(CLEAN(INDEX('Risk Matrix'!$H$7:$L$11,MATCH($Q155,'Risk Matrix'!$F$7:$F$11,0),MATCH($R155,'Risk Matrix'!$H$6:$L$6,0))),"")</f>
        <v/>
      </c>
      <c r="T155" s="85" t="str">
        <f>IF(LEFT($B155,7)=RIGHT('SOP template'!$B$1,7),_xlfn.NUMBERVALUE(RIGHT($S155,2)),"")</f>
        <v/>
      </c>
      <c r="U155" s="182"/>
      <c r="V155" s="182"/>
      <c r="W155" s="182"/>
      <c r="X155" s="182"/>
      <c r="Y155" s="182"/>
      <c r="Z155" s="182"/>
      <c r="AA155" s="186" t="str">
        <f>IFERROR(VLOOKUP(IFERROR(LEFT(S155,4),""),Ref!$AF$2:$AG$5,2,0),"")</f>
        <v/>
      </c>
      <c r="AB155" s="186"/>
      <c r="AC155" s="218"/>
      <c r="AD155" s="187" t="str">
        <f>IFERROR(VLOOKUP(AC155,'Training Matrix'!B$4:C$24,2,0),"")</f>
        <v/>
      </c>
      <c r="AE155" s="218"/>
      <c r="AF155" s="188" t="str">
        <f t="shared" si="181"/>
        <v/>
      </c>
      <c r="AG155" s="189" t="str">
        <f t="shared" ca="1" si="182"/>
        <v/>
      </c>
      <c r="AH155" s="50" t="str">
        <f t="shared" ref="AH155" si="206">IF(OR(AC155="",AE155=""),"",CONCATENATE(AC155,"_",K148,"_",L148))</f>
        <v/>
      </c>
    </row>
    <row r="156" spans="1:34" x14ac:dyDescent="0.25">
      <c r="A156" s="5" t="str">
        <f>IF(LEFT(F156,15)='SOP template'!$B$1,1,"")</f>
        <v/>
      </c>
      <c r="B156" s="190" t="str">
        <f t="shared" si="176"/>
        <v>SOP.009.9</v>
      </c>
      <c r="C156" s="190" t="str">
        <f t="shared" si="199"/>
        <v>SOP.009.5</v>
      </c>
      <c r="D156" s="190" t="str">
        <f t="shared" si="200"/>
        <v>SOP.009.3.5</v>
      </c>
      <c r="E156" s="190">
        <f t="shared" si="173"/>
        <v>9</v>
      </c>
      <c r="F156" s="190" t="str">
        <f t="shared" si="177"/>
        <v>ALP.BSP.SOP.009.09</v>
      </c>
      <c r="G156" s="190" t="str">
        <f>IF(ISBLANK(N156),"",CONCATENATE(LEFT(F156,15),".",INDEX(Ref!A:A,MATCH(N156,Ref!$K$1:$K$333,0))))</f>
        <v/>
      </c>
      <c r="H156" s="180"/>
      <c r="I156" s="217"/>
      <c r="J156" s="180"/>
      <c r="K156" s="181"/>
      <c r="L156" s="182"/>
      <c r="M156" s="182"/>
      <c r="N156" s="183"/>
      <c r="O156" s="182"/>
      <c r="P156" s="182"/>
      <c r="Q156" s="184"/>
      <c r="R156" s="184"/>
      <c r="S156" s="185" t="str">
        <f>IFERROR(CLEAN(INDEX('Risk Matrix'!$H$7:$L$11,MATCH($Q156,'Risk Matrix'!$F$7:$F$11,0),MATCH($R156,'Risk Matrix'!$H$6:$L$6,0))),"")</f>
        <v/>
      </c>
      <c r="T156" s="85" t="str">
        <f>IF(LEFT($B156,7)=RIGHT('SOP template'!$B$1,7),_xlfn.NUMBERVALUE(RIGHT($S156,2)),"")</f>
        <v/>
      </c>
      <c r="U156" s="182"/>
      <c r="V156" s="182"/>
      <c r="W156" s="182"/>
      <c r="X156" s="182"/>
      <c r="Y156" s="182"/>
      <c r="Z156" s="182"/>
      <c r="AA156" s="186" t="str">
        <f>IFERROR(VLOOKUP(IFERROR(LEFT(S156,4),""),Ref!$AF$2:$AG$5,2,0),"")</f>
        <v/>
      </c>
      <c r="AB156" s="186"/>
      <c r="AC156" s="218"/>
      <c r="AD156" s="187" t="str">
        <f>IFERROR(VLOOKUP(AC156,'Training Matrix'!B$4:C$24,2,0),"")</f>
        <v/>
      </c>
      <c r="AE156" s="218"/>
      <c r="AF156" s="188" t="str">
        <f t="shared" si="181"/>
        <v/>
      </c>
      <c r="AG156" s="189" t="str">
        <f t="shared" ca="1" si="182"/>
        <v/>
      </c>
      <c r="AH156" s="50" t="str">
        <f t="shared" ref="AH156" si="207">IF(OR(AC156="",AE156=""),"",CONCATENATE(AC156,"_",K148,"_",L148))</f>
        <v/>
      </c>
    </row>
    <row r="157" spans="1:34" x14ac:dyDescent="0.25">
      <c r="A157" s="5" t="str">
        <f>IF(LEFT(F157,15)='SOP template'!$B$1,1,"")</f>
        <v/>
      </c>
      <c r="B157" s="190" t="str">
        <f t="shared" si="176"/>
        <v>SOP.009.10</v>
      </c>
      <c r="C157" s="190" t="str">
        <f t="shared" si="199"/>
        <v>SOP.009.5.4</v>
      </c>
      <c r="D157" s="190" t="str">
        <f t="shared" si="200"/>
        <v>SOP.009.4</v>
      </c>
      <c r="E157" s="190">
        <f t="shared" si="173"/>
        <v>10</v>
      </c>
      <c r="F157" s="190" t="str">
        <f t="shared" si="177"/>
        <v>ALP.BSP.SOP.009.10</v>
      </c>
      <c r="G157" s="190" t="str">
        <f>IF(ISBLANK(N157),"",CONCATENATE(LEFT(F157,15),".",INDEX(Ref!A:A,MATCH(N157,Ref!$K$1:$K$333,0))))</f>
        <v/>
      </c>
      <c r="H157" s="180"/>
      <c r="I157" s="217"/>
      <c r="J157" s="180"/>
      <c r="K157" s="181"/>
      <c r="L157" s="182"/>
      <c r="M157" s="182"/>
      <c r="N157" s="183"/>
      <c r="O157" s="182"/>
      <c r="P157" s="182"/>
      <c r="Q157" s="184"/>
      <c r="R157" s="184"/>
      <c r="S157" s="185" t="str">
        <f>IFERROR(CLEAN(INDEX('Risk Matrix'!$H$7:$L$11,MATCH($Q157,'Risk Matrix'!$F$7:$F$11,0),MATCH($R157,'Risk Matrix'!$H$6:$L$6,0))),"")</f>
        <v/>
      </c>
      <c r="T157" s="85" t="str">
        <f>IF(LEFT($B157,7)=RIGHT('SOP template'!$B$1,7),_xlfn.NUMBERVALUE(RIGHT($S157,2)),"")</f>
        <v/>
      </c>
      <c r="U157" s="182"/>
      <c r="V157" s="182"/>
      <c r="W157" s="182"/>
      <c r="X157" s="182"/>
      <c r="Y157" s="182"/>
      <c r="Z157" s="182"/>
      <c r="AA157" s="186" t="str">
        <f>IFERROR(VLOOKUP(IFERROR(LEFT(S157,4),""),Ref!$AF$2:$AG$5,2,0),"")</f>
        <v/>
      </c>
      <c r="AB157" s="186"/>
      <c r="AC157" s="218"/>
      <c r="AD157" s="187" t="str">
        <f>IFERROR(VLOOKUP(AC157,'Training Matrix'!B$4:C$24,2,0),"")</f>
        <v/>
      </c>
      <c r="AE157" s="218"/>
      <c r="AF157" s="188" t="str">
        <f t="shared" si="181"/>
        <v/>
      </c>
      <c r="AG157" s="189" t="str">
        <f t="shared" ca="1" si="182"/>
        <v/>
      </c>
      <c r="AH157" s="50" t="str">
        <f t="shared" ref="AH157" si="208">IF(OR(AC157="",AE157=""),"",CONCATENATE(AC157,"_",K148,"_",L148))</f>
        <v/>
      </c>
    </row>
    <row r="158" spans="1:34" x14ac:dyDescent="0.25">
      <c r="A158" s="5" t="str">
        <f>IF(LEFT(F158,15)='SOP template'!$B$1,1,"")</f>
        <v/>
      </c>
      <c r="B158" s="190" t="str">
        <f t="shared" ref="B158:B165" si="209">CONCATENATE(LEFT(B157,8),E158)</f>
        <v>SOP.009.11</v>
      </c>
      <c r="C158" s="190" t="str">
        <f t="shared" si="199"/>
        <v>SOP.009.6</v>
      </c>
      <c r="D158" s="190" t="str">
        <f t="shared" si="200"/>
        <v>SOP.009.4.3</v>
      </c>
      <c r="E158" s="190">
        <f t="shared" si="173"/>
        <v>11</v>
      </c>
      <c r="F158" s="190" t="str">
        <f t="shared" ref="F158:F165" si="210">IF(K158=0,LEFT(F157,16)&amp;TEXT(E158,"00"),K158&amp;"."&amp;TEXT(E158,"00"))</f>
        <v>ALP.BSP.SOP.009.11</v>
      </c>
      <c r="G158" s="190" t="str">
        <f>IF(ISBLANK(N158),"",CONCATENATE(LEFT(F158,15),".",INDEX(Ref!A:A,MATCH(N158,Ref!$K$1:$K$333,0))))</f>
        <v/>
      </c>
      <c r="H158" s="180"/>
      <c r="I158" s="217"/>
      <c r="J158" s="180"/>
      <c r="K158" s="181"/>
      <c r="L158" s="182"/>
      <c r="M158" s="182"/>
      <c r="N158" s="183"/>
      <c r="O158" s="182"/>
      <c r="P158" s="182"/>
      <c r="Q158" s="184"/>
      <c r="R158" s="184"/>
      <c r="S158" s="185" t="str">
        <f>IFERROR(CLEAN(INDEX('Risk Matrix'!$H$7:$L$11,MATCH($Q158,'Risk Matrix'!$F$7:$F$11,0),MATCH($R158,'Risk Matrix'!$H$6:$L$6,0))),"")</f>
        <v/>
      </c>
      <c r="T158" s="85" t="str">
        <f>IF(LEFT($B158,7)=RIGHT('SOP template'!$B$1,7),_xlfn.NUMBERVALUE(RIGHT($S158,2)),"")</f>
        <v/>
      </c>
      <c r="U158" s="182"/>
      <c r="V158" s="182"/>
      <c r="W158" s="182"/>
      <c r="X158" s="182"/>
      <c r="Y158" s="182"/>
      <c r="Z158" s="182"/>
      <c r="AA158" s="186" t="str">
        <f>IFERROR(VLOOKUP(IFERROR(LEFT(S158,4),""),Ref!$AF$2:$AG$5,2,0),"")</f>
        <v/>
      </c>
      <c r="AB158" s="186"/>
      <c r="AC158" s="218"/>
      <c r="AD158" s="187" t="str">
        <f>IFERROR(VLOOKUP(AC158,'Training Matrix'!B$4:C$24,2,0),"")</f>
        <v/>
      </c>
      <c r="AE158" s="218"/>
      <c r="AF158" s="188" t="str">
        <f t="shared" si="181"/>
        <v/>
      </c>
      <c r="AG158" s="189" t="str">
        <f t="shared" ca="1" si="182"/>
        <v/>
      </c>
      <c r="AH158" s="50" t="str">
        <f t="shared" ref="AH158" si="211">IF(OR(AC158="",AE158=""),"",CONCATENATE(AC158,"_",K148,"_",L148))</f>
        <v/>
      </c>
    </row>
    <row r="159" spans="1:34" x14ac:dyDescent="0.25">
      <c r="A159" s="5" t="str">
        <f>IF(LEFT(F159,15)='SOP template'!$B$1,1,"")</f>
        <v/>
      </c>
      <c r="B159" s="190" t="str">
        <f t="shared" si="209"/>
        <v>SOP.009.12</v>
      </c>
      <c r="C159" s="190" t="str">
        <f t="shared" si="199"/>
        <v>SOP.009.6.4</v>
      </c>
      <c r="D159" s="190" t="str">
        <f t="shared" si="200"/>
        <v>SOP.009.4.5</v>
      </c>
      <c r="E159" s="190">
        <f t="shared" si="173"/>
        <v>12</v>
      </c>
      <c r="F159" s="190" t="str">
        <f t="shared" si="210"/>
        <v>ALP.BSP.SOP.009.12</v>
      </c>
      <c r="G159" s="190" t="str">
        <f>IF(ISBLANK(N159),"",CONCATENATE(LEFT(F159,15),".",INDEX(Ref!A:A,MATCH(N159,Ref!$K$1:$K$333,0))))</f>
        <v/>
      </c>
      <c r="H159" s="180"/>
      <c r="I159" s="217"/>
      <c r="J159" s="180"/>
      <c r="K159" s="181"/>
      <c r="L159" s="182"/>
      <c r="M159" s="182"/>
      <c r="N159" s="183"/>
      <c r="O159" s="182"/>
      <c r="P159" s="182"/>
      <c r="Q159" s="184"/>
      <c r="R159" s="184"/>
      <c r="S159" s="185" t="str">
        <f>IFERROR(CLEAN(INDEX('Risk Matrix'!$H$7:$L$11,MATCH($Q159,'Risk Matrix'!$F$7:$F$11,0),MATCH($R159,'Risk Matrix'!$H$6:$L$6,0))),"")</f>
        <v/>
      </c>
      <c r="T159" s="85" t="str">
        <f>IF(LEFT($B159,7)=RIGHT('SOP template'!$B$1,7),_xlfn.NUMBERVALUE(RIGHT($S159,2)),"")</f>
        <v/>
      </c>
      <c r="U159" s="182"/>
      <c r="V159" s="182"/>
      <c r="W159" s="182"/>
      <c r="X159" s="182"/>
      <c r="Y159" s="182"/>
      <c r="Z159" s="182"/>
      <c r="AA159" s="186" t="str">
        <f>IFERROR(VLOOKUP(IFERROR(LEFT(S159,4),""),Ref!$AF$2:$AG$5,2,0),"")</f>
        <v/>
      </c>
      <c r="AB159" s="186"/>
      <c r="AC159" s="218"/>
      <c r="AD159" s="187" t="str">
        <f>IFERROR(VLOOKUP(AC159,'Training Matrix'!B$4:C$24,2,0),"")</f>
        <v/>
      </c>
      <c r="AE159" s="218"/>
      <c r="AF159" s="188" t="str">
        <f t="shared" si="181"/>
        <v/>
      </c>
      <c r="AG159" s="189" t="str">
        <f t="shared" ca="1" si="182"/>
        <v/>
      </c>
      <c r="AH159" s="50" t="str">
        <f t="shared" ref="AH159" si="212">IF(OR(AC159="",AE159=""),"",CONCATENATE(AC159,"_",K148,"_",L148))</f>
        <v/>
      </c>
    </row>
    <row r="160" spans="1:34" x14ac:dyDescent="0.25">
      <c r="A160" s="5" t="str">
        <f>IF(LEFT(F160,15)='SOP template'!$B$1,1,"")</f>
        <v/>
      </c>
      <c r="B160" s="190" t="str">
        <f t="shared" si="209"/>
        <v>SOP.009.13</v>
      </c>
      <c r="C160" s="190" t="str">
        <f t="shared" si="199"/>
        <v>SOP.009.</v>
      </c>
      <c r="D160" s="190" t="str">
        <f t="shared" si="200"/>
        <v>SOP.009.</v>
      </c>
      <c r="E160" s="190">
        <f t="shared" si="173"/>
        <v>13</v>
      </c>
      <c r="F160" s="190" t="str">
        <f t="shared" si="210"/>
        <v>ALP.BSP.SOP.009.13</v>
      </c>
      <c r="G160" s="190" t="str">
        <f>IF(ISBLANK(N160),"",CONCATENATE(LEFT(F160,15),".",INDEX(Ref!A:A,MATCH(N160,Ref!$K$1:$K$333,0))))</f>
        <v/>
      </c>
      <c r="H160" s="180"/>
      <c r="I160" s="217"/>
      <c r="J160" s="180"/>
      <c r="K160" s="181"/>
      <c r="L160" s="182"/>
      <c r="M160" s="182"/>
      <c r="N160" s="183"/>
      <c r="O160" s="182"/>
      <c r="P160" s="182"/>
      <c r="Q160" s="184"/>
      <c r="R160" s="184"/>
      <c r="S160" s="185" t="str">
        <f>IFERROR(CLEAN(INDEX('Risk Matrix'!$H$7:$L$11,MATCH($Q160,'Risk Matrix'!$F$7:$F$11,0),MATCH($R160,'Risk Matrix'!$H$6:$L$6,0))),"")</f>
        <v/>
      </c>
      <c r="T160" s="85" t="str">
        <f>IF(LEFT($B160,7)=RIGHT('SOP template'!$B$1,7),_xlfn.NUMBERVALUE(RIGHT($S160,2)),"")</f>
        <v/>
      </c>
      <c r="U160" s="182"/>
      <c r="V160" s="182"/>
      <c r="W160" s="182"/>
      <c r="X160" s="182"/>
      <c r="Y160" s="182"/>
      <c r="Z160" s="182"/>
      <c r="AA160" s="186" t="str">
        <f>IFERROR(VLOOKUP(IFERROR(LEFT(S160,4),""),Ref!$AF$2:$AG$5,2,0),"")</f>
        <v/>
      </c>
      <c r="AB160" s="186"/>
      <c r="AC160" s="218"/>
      <c r="AD160" s="187" t="str">
        <f>IFERROR(VLOOKUP(AC160,'Training Matrix'!B$4:C$24,2,0),"")</f>
        <v/>
      </c>
      <c r="AE160" s="218"/>
      <c r="AF160" s="188" t="str">
        <f t="shared" si="181"/>
        <v/>
      </c>
      <c r="AG160" s="189" t="str">
        <f t="shared" ca="1" si="182"/>
        <v/>
      </c>
      <c r="AH160" s="50" t="str">
        <f t="shared" ref="AH160" si="213">IF(OR(AC160="",AE160=""),"",CONCATENATE(AC160,"_",K148,"_",L148))</f>
        <v/>
      </c>
    </row>
    <row r="161" spans="1:34" x14ac:dyDescent="0.25">
      <c r="A161" s="5" t="str">
        <f>IF(LEFT(F161,15)='SOP template'!$B$1,1,"")</f>
        <v/>
      </c>
      <c r="B161" s="190" t="str">
        <f t="shared" si="209"/>
        <v>SOP.009.14</v>
      </c>
      <c r="C161" s="190" t="str">
        <f t="shared" si="199"/>
        <v>SOP.009.</v>
      </c>
      <c r="D161" s="190" t="str">
        <f t="shared" si="200"/>
        <v>SOP.009.</v>
      </c>
      <c r="E161" s="190">
        <f t="shared" si="173"/>
        <v>14</v>
      </c>
      <c r="F161" s="190" t="str">
        <f t="shared" si="210"/>
        <v>ALP.BSP.SOP.009.14</v>
      </c>
      <c r="G161" s="190" t="str">
        <f>IF(ISBLANK(N161),"",CONCATENATE(LEFT(F161,15),".",INDEX(Ref!A:A,MATCH(N161,Ref!$K$1:$K$333,0))))</f>
        <v/>
      </c>
      <c r="H161" s="180"/>
      <c r="I161" s="217"/>
      <c r="J161" s="180"/>
      <c r="K161" s="181"/>
      <c r="L161" s="182"/>
      <c r="M161" s="182"/>
      <c r="N161" s="183"/>
      <c r="O161" s="182"/>
      <c r="P161" s="182"/>
      <c r="Q161" s="184"/>
      <c r="R161" s="184"/>
      <c r="S161" s="185" t="str">
        <f>IFERROR(CLEAN(INDEX('Risk Matrix'!$H$7:$L$11,MATCH($Q161,'Risk Matrix'!$F$7:$F$11,0),MATCH($R161,'Risk Matrix'!$H$6:$L$6,0))),"")</f>
        <v/>
      </c>
      <c r="T161" s="85" t="str">
        <f>IF(LEFT($B161,7)=RIGHT('SOP template'!$B$1,7),_xlfn.NUMBERVALUE(RIGHT($S161,2)),"")</f>
        <v/>
      </c>
      <c r="U161" s="182"/>
      <c r="V161" s="182"/>
      <c r="W161" s="182"/>
      <c r="X161" s="182"/>
      <c r="Y161" s="182"/>
      <c r="Z161" s="182"/>
      <c r="AA161" s="186" t="str">
        <f>IFERROR(VLOOKUP(IFERROR(LEFT(S161,4),""),Ref!$AF$2:$AG$5,2,0),"")</f>
        <v/>
      </c>
      <c r="AB161" s="186"/>
      <c r="AC161" s="218"/>
      <c r="AD161" s="187" t="str">
        <f>IFERROR(VLOOKUP(AC161,'Training Matrix'!B$4:C$24,2,0),"")</f>
        <v/>
      </c>
      <c r="AE161" s="218"/>
      <c r="AF161" s="188" t="str">
        <f t="shared" si="181"/>
        <v/>
      </c>
      <c r="AG161" s="189" t="str">
        <f t="shared" ca="1" si="182"/>
        <v/>
      </c>
      <c r="AH161" s="50" t="str">
        <f t="shared" ref="AH161" si="214">IF(OR(AC161="",AE161=""),"",CONCATENATE(AC161,"_",K148,"_",L148))</f>
        <v/>
      </c>
    </row>
    <row r="162" spans="1:34" x14ac:dyDescent="0.25">
      <c r="A162" s="5" t="str">
        <f>IF(LEFT(F162,15)='SOP template'!$B$1,1,"")</f>
        <v/>
      </c>
      <c r="B162" s="190" t="str">
        <f t="shared" si="209"/>
        <v>SOP.009.15</v>
      </c>
      <c r="C162" s="190" t="str">
        <f t="shared" si="199"/>
        <v>SOP.009.</v>
      </c>
      <c r="D162" s="190" t="str">
        <f t="shared" si="200"/>
        <v>SOP.009.</v>
      </c>
      <c r="E162" s="190">
        <f t="shared" si="173"/>
        <v>15</v>
      </c>
      <c r="F162" s="190" t="str">
        <f t="shared" si="210"/>
        <v>ALP.BSP.SOP.009.15</v>
      </c>
      <c r="G162" s="190" t="str">
        <f>IF(ISBLANK(N162),"",CONCATENATE(LEFT(F162,15),".",INDEX(Ref!A:A,MATCH(N162,Ref!$K$1:$K$333,0))))</f>
        <v/>
      </c>
      <c r="H162" s="180"/>
      <c r="I162" s="217"/>
      <c r="J162" s="180"/>
      <c r="K162" s="181"/>
      <c r="L162" s="182"/>
      <c r="M162" s="182"/>
      <c r="N162" s="183"/>
      <c r="O162" s="182"/>
      <c r="P162" s="182"/>
      <c r="Q162" s="184"/>
      <c r="R162" s="184"/>
      <c r="S162" s="185" t="str">
        <f>IFERROR(CLEAN(INDEX('Risk Matrix'!$H$7:$L$11,MATCH($Q162,'Risk Matrix'!$F$7:$F$11,0),MATCH($R162,'Risk Matrix'!$H$6:$L$6,0))),"")</f>
        <v/>
      </c>
      <c r="T162" s="85" t="str">
        <f>IF(LEFT($B162,7)=RIGHT('SOP template'!$B$1,7),_xlfn.NUMBERVALUE(RIGHT($S162,2)),"")</f>
        <v/>
      </c>
      <c r="U162" s="182"/>
      <c r="V162" s="182"/>
      <c r="W162" s="182"/>
      <c r="X162" s="182"/>
      <c r="Y162" s="182"/>
      <c r="Z162" s="182"/>
      <c r="AA162" s="186" t="str">
        <f>IFERROR(VLOOKUP(IFERROR(LEFT(S162,4),""),Ref!$AF$2:$AG$5,2,0),"")</f>
        <v/>
      </c>
      <c r="AB162" s="186"/>
      <c r="AC162" s="218"/>
      <c r="AD162" s="187" t="str">
        <f>IFERROR(VLOOKUP(AC162,'Training Matrix'!B$4:C$24,2,0),"")</f>
        <v/>
      </c>
      <c r="AE162" s="218"/>
      <c r="AF162" s="188" t="str">
        <f t="shared" si="181"/>
        <v/>
      </c>
      <c r="AG162" s="189" t="str">
        <f t="shared" ca="1" si="182"/>
        <v/>
      </c>
      <c r="AH162" s="50" t="str">
        <f t="shared" ref="AH162" si="215">IF(OR(AC162="",AE162=""),"",CONCATENATE(AC162,"_",K148,"_",L148))</f>
        <v/>
      </c>
    </row>
    <row r="163" spans="1:34" x14ac:dyDescent="0.25">
      <c r="A163" s="5" t="str">
        <f>IF(LEFT(F163,15)='SOP template'!$B$1,1,"")</f>
        <v/>
      </c>
      <c r="B163" s="190" t="str">
        <f t="shared" si="209"/>
        <v>SOP.009.16</v>
      </c>
      <c r="C163" s="190" t="str">
        <f t="shared" si="199"/>
        <v>SOP.009.</v>
      </c>
      <c r="D163" s="190" t="str">
        <f t="shared" si="200"/>
        <v>SOP.009.</v>
      </c>
      <c r="E163" s="190">
        <f t="shared" si="173"/>
        <v>16</v>
      </c>
      <c r="F163" s="190" t="str">
        <f t="shared" si="210"/>
        <v>ALP.BSP.SOP.009.16</v>
      </c>
      <c r="G163" s="190" t="str">
        <f>IF(ISBLANK(N163),"",CONCATENATE(LEFT(F163,15),".",INDEX(Ref!A:A,MATCH(N163,Ref!$K$1:$K$333,0))))</f>
        <v/>
      </c>
      <c r="H163" s="180"/>
      <c r="I163" s="217"/>
      <c r="J163" s="180"/>
      <c r="K163" s="181"/>
      <c r="L163" s="182"/>
      <c r="M163" s="182"/>
      <c r="N163" s="183"/>
      <c r="O163" s="182"/>
      <c r="P163" s="182"/>
      <c r="Q163" s="184"/>
      <c r="R163" s="184"/>
      <c r="S163" s="185" t="str">
        <f>IFERROR(CLEAN(INDEX('Risk Matrix'!$H$7:$L$11,MATCH($Q163,'Risk Matrix'!$F$7:$F$11,0),MATCH($R163,'Risk Matrix'!$H$6:$L$6,0))),"")</f>
        <v/>
      </c>
      <c r="T163" s="85" t="str">
        <f>IF(LEFT($B163,7)=RIGHT('SOP template'!$B$1,7),_xlfn.NUMBERVALUE(RIGHT($S163,2)),"")</f>
        <v/>
      </c>
      <c r="U163" s="182"/>
      <c r="V163" s="182"/>
      <c r="W163" s="182"/>
      <c r="X163" s="182"/>
      <c r="Y163" s="182"/>
      <c r="Z163" s="182"/>
      <c r="AA163" s="186" t="str">
        <f>IFERROR(VLOOKUP(IFERROR(LEFT(S163,4),""),Ref!$AF$2:$AG$5,2,0),"")</f>
        <v/>
      </c>
      <c r="AB163" s="186"/>
      <c r="AC163" s="218"/>
      <c r="AD163" s="187" t="str">
        <f>IFERROR(VLOOKUP(AC163,'Training Matrix'!B$4:C$24,2,0),"")</f>
        <v/>
      </c>
      <c r="AE163" s="218"/>
      <c r="AF163" s="188" t="str">
        <f t="shared" si="181"/>
        <v/>
      </c>
      <c r="AG163" s="189" t="str">
        <f t="shared" ca="1" si="182"/>
        <v/>
      </c>
      <c r="AH163" s="50" t="str">
        <f t="shared" ref="AH163" si="216">IF(OR(AC163="",AE163=""),"",CONCATENATE(AC163,"_",K148,"_",L148))</f>
        <v/>
      </c>
    </row>
    <row r="164" spans="1:34" x14ac:dyDescent="0.25">
      <c r="A164" s="5" t="str">
        <f>IF(LEFT(F164,15)='SOP template'!$B$1,1,"")</f>
        <v/>
      </c>
      <c r="B164" s="190" t="str">
        <f t="shared" si="209"/>
        <v>SOP.009.17</v>
      </c>
      <c r="C164" s="190" t="str">
        <f t="shared" si="199"/>
        <v>SOP.009.</v>
      </c>
      <c r="D164" s="190" t="str">
        <f t="shared" si="200"/>
        <v>SOP.009.</v>
      </c>
      <c r="E164" s="190">
        <f t="shared" si="173"/>
        <v>17</v>
      </c>
      <c r="F164" s="190" t="str">
        <f t="shared" si="210"/>
        <v>ALP.BSP.SOP.009.17</v>
      </c>
      <c r="G164" s="190" t="str">
        <f>IF(ISBLANK(N164),"",CONCATENATE(LEFT(F164,15),".",INDEX(Ref!A:A,MATCH(N164,Ref!$K$1:$K$333,0))))</f>
        <v/>
      </c>
      <c r="H164" s="180"/>
      <c r="I164" s="217"/>
      <c r="J164" s="180"/>
      <c r="K164" s="181"/>
      <c r="L164" s="182"/>
      <c r="M164" s="182"/>
      <c r="N164" s="183"/>
      <c r="O164" s="182"/>
      <c r="P164" s="182"/>
      <c r="Q164" s="184"/>
      <c r="R164" s="184"/>
      <c r="S164" s="185" t="str">
        <f>IFERROR(CLEAN(INDEX('Risk Matrix'!$H$7:$L$11,MATCH($Q164,'Risk Matrix'!$F$7:$F$11,0),MATCH($R164,'Risk Matrix'!$H$6:$L$6,0))),"")</f>
        <v/>
      </c>
      <c r="T164" s="85" t="str">
        <f>IF(LEFT($B164,7)=RIGHT('SOP template'!$B$1,7),_xlfn.NUMBERVALUE(RIGHT($S164,2)),"")</f>
        <v/>
      </c>
      <c r="U164" s="182"/>
      <c r="V164" s="182"/>
      <c r="W164" s="182"/>
      <c r="X164" s="182"/>
      <c r="Y164" s="182"/>
      <c r="Z164" s="182"/>
      <c r="AA164" s="186" t="str">
        <f>IFERROR(VLOOKUP(IFERROR(LEFT(S164,4),""),Ref!$AF$2:$AG$5,2,0),"")</f>
        <v/>
      </c>
      <c r="AB164" s="186"/>
      <c r="AC164" s="218"/>
      <c r="AD164" s="187" t="str">
        <f>IFERROR(VLOOKUP(AC164,'Training Matrix'!B$4:C$24,2,0),"")</f>
        <v/>
      </c>
      <c r="AE164" s="218"/>
      <c r="AF164" s="188" t="str">
        <f t="shared" si="181"/>
        <v/>
      </c>
      <c r="AG164" s="189" t="str">
        <f t="shared" ca="1" si="182"/>
        <v/>
      </c>
      <c r="AH164" s="50" t="str">
        <f t="shared" ref="AH164" si="217">IF(OR(AC164="",AE164=""),"",CONCATENATE(AC164,"_",K148,"_",L148))</f>
        <v/>
      </c>
    </row>
    <row r="165" spans="1:34" x14ac:dyDescent="0.25">
      <c r="A165" s="5" t="str">
        <f>IF(LEFT(F165,15)='SOP template'!$B$1,1,"")</f>
        <v/>
      </c>
      <c r="B165" s="190" t="str">
        <f t="shared" si="209"/>
        <v>SOP.009.18</v>
      </c>
      <c r="C165" s="190" t="str">
        <f t="shared" si="199"/>
        <v>SOP.009.</v>
      </c>
      <c r="D165" s="190" t="str">
        <f t="shared" si="200"/>
        <v>SOP.009.</v>
      </c>
      <c r="E165" s="190">
        <f t="shared" si="173"/>
        <v>18</v>
      </c>
      <c r="F165" s="190" t="str">
        <f t="shared" si="210"/>
        <v>ALP.BSP.SOP.009.18</v>
      </c>
      <c r="G165" s="190" t="str">
        <f>IF(ISBLANK(N165),"",CONCATENATE(LEFT(F165,15),".",INDEX(Ref!A:A,MATCH(N165,Ref!$K$1:$K$333,0))))</f>
        <v/>
      </c>
      <c r="H165" s="180"/>
      <c r="I165" s="217"/>
      <c r="J165" s="180"/>
      <c r="K165" s="181"/>
      <c r="L165" s="182"/>
      <c r="M165" s="182"/>
      <c r="N165" s="183"/>
      <c r="O165" s="182"/>
      <c r="P165" s="182"/>
      <c r="Q165" s="184"/>
      <c r="R165" s="184"/>
      <c r="S165" s="185" t="str">
        <f>IFERROR(CLEAN(INDEX('Risk Matrix'!$H$7:$L$11,MATCH($Q165,'Risk Matrix'!$F$7:$F$11,0),MATCH($R165,'Risk Matrix'!$H$6:$L$6,0))),"")</f>
        <v/>
      </c>
      <c r="T165" s="85" t="str">
        <f>IF(LEFT($B165,7)=RIGHT('SOP template'!$B$1,7),_xlfn.NUMBERVALUE(RIGHT($S165,2)),"")</f>
        <v/>
      </c>
      <c r="U165" s="182"/>
      <c r="V165" s="182"/>
      <c r="W165" s="182"/>
      <c r="X165" s="182"/>
      <c r="Y165" s="182"/>
      <c r="Z165" s="182"/>
      <c r="AA165" s="186" t="str">
        <f>IFERROR(VLOOKUP(IFERROR(LEFT(S165,4),""),Ref!$AF$2:$AG$5,2,0),"")</f>
        <v/>
      </c>
      <c r="AB165" s="186"/>
      <c r="AC165" s="218"/>
      <c r="AD165" s="187" t="str">
        <f>IFERROR(VLOOKUP(AC165,'Training Matrix'!B$4:C$24,2,0),"")</f>
        <v/>
      </c>
      <c r="AE165" s="218"/>
      <c r="AF165" s="188" t="str">
        <f t="shared" si="181"/>
        <v/>
      </c>
      <c r="AG165" s="189" t="str">
        <f t="shared" ca="1" si="182"/>
        <v/>
      </c>
      <c r="AH165" s="50" t="str">
        <f t="shared" ref="AH165" si="218">IF(OR(AC165="",AE165=""),"",CONCATENATE(AC165,"_",K148,"_",L148))</f>
        <v/>
      </c>
    </row>
    <row r="166" spans="1:34" ht="45" x14ac:dyDescent="0.25">
      <c r="A166" s="5" t="str">
        <f>IF(LEFT(F166,15)='SOP template'!$B$1,1,"")</f>
        <v/>
      </c>
      <c r="B166" s="179" t="str">
        <f t="shared" ref="B166" si="219">IF(ISBLANK($K166),CONCATENATE($B$2,".",TEXT(J166,"000"),".",$E166),CONCATENATE(RIGHT($K166,7),".1"))</f>
        <v>SOP.010.1</v>
      </c>
      <c r="C166" s="179" t="str">
        <f>IF(ISBLANK($K166),CONCATENATE(LEFT($B76,8),IF($E166=1,1.1,IF($E166=2,1.4,IF($E166=3,2,IF($E166=4,2.4,IF($E166=5,3,IF($E166=6,3.4,IF($E166=7,4,IF($E166=8,4.4,IF($E166=9,5,IF($E166=10,5.4,IF($E166=11,6,IF($E166=12,6.4,""))))))))))))),CONCATENATE(RIGHT($K166,7),".1"))</f>
        <v>SOP.010.1</v>
      </c>
      <c r="D166" s="179" t="str">
        <f>IF(ISBLANK($K166),CONCATENATE(LEFT($B76,8),IF($E166=1,1,IF($E166=2,1.3,IF($E166=3,1.5,IF($E166=4,2,IF($E166=5,2.3,IF($E166=6,2.5,IF($E166=7,3,IF($E166=8,3.3,IF($E166=9,3.5,IF($E166=10,4,IF($E166=11,4.3,IF($E166=12,4.5,""))))))))))))),CONCATENATE(RIGHT($K166,7),".1"))</f>
        <v>SOP.010.1</v>
      </c>
      <c r="E166" s="179">
        <f t="shared" si="173"/>
        <v>1</v>
      </c>
      <c r="F166" s="179" t="str">
        <f t="shared" ref="F166" si="220">K166&amp;"."&amp;TEXT(E166,"00")</f>
        <v>ALP.BSP.SOP.010.01</v>
      </c>
      <c r="G166" s="179" t="str">
        <f>IF(ISBLANK(N166),"",CONCATENATE(LEFT(F166,15),".",INDEX(Ref!A:A,MATCH(N166,Ref!$K$1:$K$333,0))))</f>
        <v>ALP.BSP.SOP.010.1</v>
      </c>
      <c r="H166" s="217" t="s">
        <v>394</v>
      </c>
      <c r="I166" s="217" t="s">
        <v>275</v>
      </c>
      <c r="J166" s="180">
        <v>10</v>
      </c>
      <c r="K166" s="181" t="str">
        <f>IFERROR(CONCATENATE(INDEX(Ref!$Z$2:$Z$8,MATCH(H166,Ref!$AA$2:$AA$8,0)),".",I166,".SOP.",TEXT(J166,"000")),CONCATENATE(H166,".",I166,".SOP.",TEXT(J166,"000")))</f>
        <v>ALP.BSP.SOP.010</v>
      </c>
      <c r="L166" s="191" t="s">
        <v>957</v>
      </c>
      <c r="M166" s="182" t="s">
        <v>958</v>
      </c>
      <c r="N166" s="183" t="s">
        <v>117</v>
      </c>
      <c r="O166" s="182" t="s">
        <v>411</v>
      </c>
      <c r="P166" s="182" t="s">
        <v>636</v>
      </c>
      <c r="Q166" s="184" t="s">
        <v>89</v>
      </c>
      <c r="R166" s="184" t="s">
        <v>90</v>
      </c>
      <c r="S166" s="185" t="str">
        <f>IFERROR(CLEAN(INDEX('Risk Matrix'!$H$7:$L$11,MATCH($Q166,'Risk Matrix'!$F$7:$F$11,0),MATCH($R166,'Risk Matrix'!$H$6:$L$6,0))),"")</f>
        <v>Medium 2</v>
      </c>
      <c r="T166" s="85" t="str">
        <f>IF(LEFT($B166,7)=RIGHT('SOP template'!$B$1,7),_xlfn.NUMBERVALUE(RIGHT($S166,2)),"")</f>
        <v/>
      </c>
      <c r="U166" s="182" t="s">
        <v>645</v>
      </c>
      <c r="V166" s="182" t="s">
        <v>695</v>
      </c>
      <c r="W166" s="182" t="s">
        <v>696</v>
      </c>
      <c r="X166" s="182" t="s">
        <v>697</v>
      </c>
      <c r="Y166" s="182" t="s">
        <v>698</v>
      </c>
      <c r="Z166" s="182" t="s">
        <v>699</v>
      </c>
      <c r="AA166" s="186">
        <f>IFERROR(VLOOKUP(IFERROR(LEFT(S166,4),""),Ref!$AF$2:$AG$5,2,0),"")</f>
        <v>24</v>
      </c>
      <c r="AB166" s="186">
        <f>MIN($AA$166:$AA$183)</f>
        <v>24</v>
      </c>
      <c r="AC166" s="218" t="s">
        <v>289</v>
      </c>
      <c r="AD166" s="187" t="str">
        <f>IFERROR(VLOOKUP(AC166,'Training Matrix'!B$4:C$24,2,0),"")</f>
        <v>Dock Manager</v>
      </c>
      <c r="AE166" s="221">
        <v>45792</v>
      </c>
      <c r="AF166" s="188">
        <f t="shared" si="181"/>
        <v>46522</v>
      </c>
      <c r="AG166" s="189" t="str">
        <f t="shared" ca="1" si="182"/>
        <v>Current</v>
      </c>
      <c r="AH166" s="50" t="str">
        <f t="shared" ref="AH166" si="221">IF(OR(AC166="",AE166=""),"",CONCATENATE(AC166,"_",K166,"_",L166))</f>
        <v>Person 1_ALP.BSP.SOP.010_Nederman Arm</v>
      </c>
    </row>
    <row r="167" spans="1:34" ht="45" x14ac:dyDescent="0.25">
      <c r="A167" s="5" t="str">
        <f>IF(LEFT(F167,15)='SOP template'!$B$1,1,"")</f>
        <v/>
      </c>
      <c r="B167" s="216" t="str">
        <f t="shared" ref="B167" si="222">CONCATENATE(LEFT(B166,8),E167)</f>
        <v>SOP.010.2</v>
      </c>
      <c r="C167" s="216" t="str">
        <f>IF(ISBLANK($K167),CONCATENATE(LEFT($B166,8),IF($E167=1,1.1,IF($E167=2,1.4,IF($E167=3,2,IF($E167=4,2.4,IF($E167=5,3,IF($E167=6,3.4,IF($E167=7,4,IF($E167=8,4.4,IF($E167=9,5,IF($E167=10,5.4,IF($E167=11,6,IF($E167=12,6.4,""))))))))))))),CONCATENATE(RIGHT($K167,7),".1"))</f>
        <v>SOP.010.1.4</v>
      </c>
      <c r="D167" s="216" t="str">
        <f>IF(ISBLANK($K167),CONCATENATE(LEFT($B166,8),IF($E167=1,1,IF($E167=2,1.3,IF($E167=3,1.5,IF($E167=4,2,IF($E167=5,2.3,IF($E167=6,2.5,IF($E167=7,3,IF($E167=8,3.3,IF($E167=9,3.5,IF($E167=10,4,IF($E167=11,4.3,IF($E167=12,4.5,""))))))))))))),CONCATENATE(RIGHT($K167,7),".1"))</f>
        <v>SOP.010.1.3</v>
      </c>
      <c r="E167" s="216">
        <f t="shared" si="173"/>
        <v>2</v>
      </c>
      <c r="F167" s="216" t="str">
        <f t="shared" ref="F167" si="223">IF(K167=0,LEFT(F166,16)&amp;TEXT(E167,"00"),K167&amp;"."&amp;TEXT(E167,"00"))</f>
        <v>ALP.BSP.SOP.010.02</v>
      </c>
      <c r="G167" s="216" t="str">
        <f>IF(ISBLANK(N167),"",CONCATENATE(LEFT(F167,15),".",INDEX(Ref!A:A,MATCH(N167,Ref!$K$1:$K$333,0))))</f>
        <v>ALP.BSP.SOP.010.20</v>
      </c>
      <c r="H167" s="180"/>
      <c r="I167" s="217"/>
      <c r="J167" s="180"/>
      <c r="K167" s="181"/>
      <c r="L167" s="182"/>
      <c r="M167" s="182"/>
      <c r="N167" s="183" t="s">
        <v>133</v>
      </c>
      <c r="O167" s="182" t="s">
        <v>498</v>
      </c>
      <c r="P167" s="182" t="s">
        <v>499</v>
      </c>
      <c r="Q167" s="184" t="s">
        <v>92</v>
      </c>
      <c r="R167" s="184" t="s">
        <v>90</v>
      </c>
      <c r="S167" s="185" t="str">
        <f>IFERROR(CLEAN(INDEX('Risk Matrix'!$H$7:$L$11,MATCH($Q167,'Risk Matrix'!$F$7:$F$11,0),MATCH($R167,'Risk Matrix'!$H$6:$L$6,0))),"")</f>
        <v>Medium 2</v>
      </c>
      <c r="T167" s="85" t="str">
        <f>IF(LEFT($B167,7)=RIGHT('SOP template'!$B$1,7),_xlfn.NUMBERVALUE(RIGHT($S167,2)),"")</f>
        <v/>
      </c>
      <c r="U167" s="182" t="s">
        <v>700</v>
      </c>
      <c r="V167" s="182" t="s">
        <v>701</v>
      </c>
      <c r="W167" s="182" t="s">
        <v>702</v>
      </c>
      <c r="X167" s="182" t="s">
        <v>703</v>
      </c>
      <c r="Y167" s="182" t="s">
        <v>704</v>
      </c>
      <c r="Z167" s="182"/>
      <c r="AA167" s="186">
        <f>IFERROR(VLOOKUP(IFERROR(LEFT(S167,4),""),Ref!$AF$2:$AG$5,2,0),"")</f>
        <v>24</v>
      </c>
      <c r="AB167" s="186"/>
      <c r="AC167" s="218" t="s">
        <v>290</v>
      </c>
      <c r="AD167" s="187" t="str">
        <f>IFERROR(VLOOKUP(AC167,'Training Matrix'!B$4:C$24,2,0),"")</f>
        <v>WHS Team member</v>
      </c>
      <c r="AE167" s="221">
        <v>45792</v>
      </c>
      <c r="AF167" s="188">
        <f t="shared" si="181"/>
        <v>46522</v>
      </c>
      <c r="AG167" s="189" t="str">
        <f t="shared" ca="1" si="182"/>
        <v>Current</v>
      </c>
      <c r="AH167" s="50" t="str">
        <f t="shared" ref="AH167" si="224">IF(OR(AC167="",AE167=""),"",CONCATENATE(AC167,"_",K166,"_",L166))</f>
        <v>Person 2_ALP.BSP.SOP.010_Nederman Arm</v>
      </c>
    </row>
    <row r="168" spans="1:34" ht="45" x14ac:dyDescent="0.25">
      <c r="A168" s="5" t="str">
        <f>IF(LEFT(F168,15)='SOP template'!$B$1,1,"")</f>
        <v/>
      </c>
      <c r="B168" s="190" t="str">
        <f t="shared" si="176"/>
        <v>SOP.010.3</v>
      </c>
      <c r="C168" s="190" t="str">
        <f t="shared" ref="C168:C183" si="225">IF(ISBLANK($K168),CONCATENATE(LEFT($B167,8),IF($E168=1,1.1,IF($E168=2,1.4,IF($E168=3,2,IF($E168=4,2.4,IF($E168=5,3,IF($E168=6,3.4,IF($E168=7,4,IF($E168=8,4.4,IF($E168=9,5,IF($E168=10,5.4,IF($E168=11,6,IF($E168=12,6.4,""))))))))))))),CONCATENATE(RIGHT($K168,7),".1"))</f>
        <v>SOP.010.2</v>
      </c>
      <c r="D168" s="190" t="str">
        <f t="shared" ref="D168:D183" si="226">IF(ISBLANK($K168),CONCATENATE(LEFT($B167,8),IF($E168=1,1,IF($E168=2,1.3,IF($E168=3,1.5,IF($E168=4,2,IF($E168=5,2.3,IF($E168=6,2.5,IF($E168=7,3,IF($E168=8,3.3,IF($E168=9,3.5,IF($E168=10,4,IF($E168=11,4.3,IF($E168=12,4.5,""))))))))))))),CONCATENATE(RIGHT($K168,7),".1"))</f>
        <v>SOP.010.1.5</v>
      </c>
      <c r="E168" s="190">
        <f t="shared" si="173"/>
        <v>3</v>
      </c>
      <c r="F168" s="190" t="str">
        <f t="shared" si="177"/>
        <v>ALP.BSP.SOP.010.03</v>
      </c>
      <c r="G168" s="190" t="str">
        <f>IF(ISBLANK(N168),"",CONCATENATE(LEFT(F168,15),".",INDEX(Ref!A:A,MATCH(N168,Ref!$K$1:$K$333,0))))</f>
        <v>ALP.BSP.SOP.010.2</v>
      </c>
      <c r="H168" s="180"/>
      <c r="I168" s="217"/>
      <c r="J168" s="180"/>
      <c r="K168" s="181"/>
      <c r="L168" s="182"/>
      <c r="M168" s="182"/>
      <c r="N168" s="183" t="s">
        <v>94</v>
      </c>
      <c r="O168" s="182" t="s">
        <v>417</v>
      </c>
      <c r="P168" s="182" t="s">
        <v>418</v>
      </c>
      <c r="Q168" s="184" t="s">
        <v>89</v>
      </c>
      <c r="R168" s="184" t="s">
        <v>91</v>
      </c>
      <c r="S168" s="185" t="str">
        <f>IFERROR(CLEAN(INDEX('Risk Matrix'!$H$7:$L$11,MATCH($Q168,'Risk Matrix'!$F$7:$F$11,0),MATCH($R168,'Risk Matrix'!$H$6:$L$6,0))),"")</f>
        <v>Low 1</v>
      </c>
      <c r="T168" s="85" t="str">
        <f>IF(LEFT($B168,7)=RIGHT('SOP template'!$B$1,7),_xlfn.NUMBERVALUE(RIGHT($S168,2)),"")</f>
        <v/>
      </c>
      <c r="U168" s="182" t="s">
        <v>683</v>
      </c>
      <c r="V168" s="182"/>
      <c r="W168" s="182" t="s">
        <v>705</v>
      </c>
      <c r="X168" s="182" t="s">
        <v>706</v>
      </c>
      <c r="Y168" s="182" t="s">
        <v>707</v>
      </c>
      <c r="Z168" s="182"/>
      <c r="AA168" s="186">
        <f>IFERROR(VLOOKUP(IFERROR(LEFT(S168,4),""),Ref!$AF$2:$AG$5,2,0),"")</f>
        <v>36</v>
      </c>
      <c r="AB168" s="186"/>
      <c r="AC168" s="218" t="s">
        <v>167</v>
      </c>
      <c r="AD168" s="187" t="str">
        <f>IFERROR(VLOOKUP(AC168,'Training Matrix'!B$4:C$24,2,0),"")</f>
        <v>Bioscience Manager</v>
      </c>
      <c r="AE168" s="221">
        <v>45792</v>
      </c>
      <c r="AF168" s="188">
        <f t="shared" si="181"/>
        <v>46522</v>
      </c>
      <c r="AG168" s="189" t="str">
        <f t="shared" ca="1" si="182"/>
        <v>Current</v>
      </c>
      <c r="AH168" s="50" t="str">
        <f t="shared" ref="AH168" si="227">IF(OR(AC168="",AE168=""),"",CONCATENATE(AC168,"_",K166,"_",L166))</f>
        <v>Person 3_ALP.BSP.SOP.010_Nederman Arm</v>
      </c>
    </row>
    <row r="169" spans="1:34" ht="45" x14ac:dyDescent="0.25">
      <c r="A169" s="5" t="str">
        <f>IF(LEFT(F169,15)='SOP template'!$B$1,1,"")</f>
        <v/>
      </c>
      <c r="B169" s="190" t="str">
        <f t="shared" si="176"/>
        <v>SOP.010.4</v>
      </c>
      <c r="C169" s="190" t="str">
        <f t="shared" si="225"/>
        <v>SOP.010.2.4</v>
      </c>
      <c r="D169" s="190" t="str">
        <f t="shared" si="226"/>
        <v>SOP.010.2</v>
      </c>
      <c r="E169" s="190">
        <f t="shared" si="173"/>
        <v>4</v>
      </c>
      <c r="F169" s="190" t="str">
        <f t="shared" si="177"/>
        <v>ALP.BSP.SOP.010.04</v>
      </c>
      <c r="G169" s="190" t="str">
        <f>IF(ISBLANK(N169),"",CONCATENATE(LEFT(F169,15),".",INDEX(Ref!A:A,MATCH(N169,Ref!$K$1:$K$333,0))))</f>
        <v>ALP.BSP.SOP.010.7</v>
      </c>
      <c r="H169" s="180"/>
      <c r="I169" s="217"/>
      <c r="J169" s="180"/>
      <c r="K169" s="181"/>
      <c r="L169" s="182"/>
      <c r="M169" s="182"/>
      <c r="N169" s="183" t="s">
        <v>88</v>
      </c>
      <c r="O169" s="182" t="s">
        <v>548</v>
      </c>
      <c r="P169" s="182" t="s">
        <v>549</v>
      </c>
      <c r="Q169" s="184" t="s">
        <v>89</v>
      </c>
      <c r="R169" s="184" t="s">
        <v>91</v>
      </c>
      <c r="S169" s="185" t="str">
        <f>IFERROR(CLEAN(INDEX('Risk Matrix'!$H$7:$L$11,MATCH($Q169,'Risk Matrix'!$F$7:$F$11,0),MATCH($R169,'Risk Matrix'!$H$6:$L$6,0))),"")</f>
        <v>Low 1</v>
      </c>
      <c r="T169" s="85" t="str">
        <f>IF(LEFT($B169,7)=RIGHT('SOP template'!$B$1,7),_xlfn.NUMBERVALUE(RIGHT($S169,2)),"")</f>
        <v/>
      </c>
      <c r="U169" s="182" t="s">
        <v>663</v>
      </c>
      <c r="V169" s="182"/>
      <c r="W169" s="182" t="s">
        <v>689</v>
      </c>
      <c r="X169" s="182"/>
      <c r="Y169" s="182" t="s">
        <v>708</v>
      </c>
      <c r="Z169" s="182"/>
      <c r="AA169" s="186">
        <f>IFERROR(VLOOKUP(IFERROR(LEFT(S169,4),""),Ref!$AF$2:$AG$5,2,0),"")</f>
        <v>36</v>
      </c>
      <c r="AB169" s="186"/>
      <c r="AC169" s="218" t="s">
        <v>168</v>
      </c>
      <c r="AD169" s="187" t="str">
        <f>IFERROR(VLOOKUP(AC169,'Training Matrix'!B$4:C$24,2,0),"")</f>
        <v>Collection Manager</v>
      </c>
      <c r="AE169" s="221">
        <v>45792</v>
      </c>
      <c r="AF169" s="188">
        <f t="shared" si="181"/>
        <v>46522</v>
      </c>
      <c r="AG169" s="189" t="str">
        <f t="shared" ca="1" si="182"/>
        <v>Current</v>
      </c>
      <c r="AH169" s="50" t="str">
        <f t="shared" ref="AH169" si="228">IF(OR(AC169="",AE169=""),"",CONCATENATE(AC169,"_",K166,"_",L166))</f>
        <v>Person 4_ALP.BSP.SOP.010_Nederman Arm</v>
      </c>
    </row>
    <row r="170" spans="1:34" ht="30" x14ac:dyDescent="0.25">
      <c r="A170" s="5" t="str">
        <f>IF(LEFT(F170,15)='SOP template'!$B$1,1,"")</f>
        <v/>
      </c>
      <c r="B170" s="190" t="str">
        <f t="shared" si="176"/>
        <v>SOP.010.5</v>
      </c>
      <c r="C170" s="190" t="str">
        <f t="shared" si="225"/>
        <v>SOP.010.3</v>
      </c>
      <c r="D170" s="190" t="str">
        <f t="shared" si="226"/>
        <v>SOP.010.2.3</v>
      </c>
      <c r="E170" s="190">
        <f t="shared" si="173"/>
        <v>5</v>
      </c>
      <c r="F170" s="190" t="str">
        <f t="shared" si="177"/>
        <v>ALP.BSP.SOP.010.05</v>
      </c>
      <c r="G170" s="190" t="str">
        <f>IF(ISBLANK(N170),"",CONCATENATE(LEFT(F170,15),".",INDEX(Ref!A:A,MATCH(N170,Ref!$K$1:$K$333,0))))</f>
        <v/>
      </c>
      <c r="H170" s="180"/>
      <c r="I170" s="217"/>
      <c r="J170" s="180"/>
      <c r="K170" s="181"/>
      <c r="L170" s="182"/>
      <c r="M170" s="182"/>
      <c r="N170" s="183"/>
      <c r="O170" s="182"/>
      <c r="P170" s="182"/>
      <c r="Q170" s="184"/>
      <c r="R170" s="184"/>
      <c r="S170" s="185" t="str">
        <f>IFERROR(CLEAN(INDEX('Risk Matrix'!$H$7:$L$11,MATCH($Q170,'Risk Matrix'!$F$7:$F$11,0),MATCH($R170,'Risk Matrix'!$H$6:$L$6,0))),"")</f>
        <v/>
      </c>
      <c r="T170" s="85" t="str">
        <f>IF(LEFT($B170,7)=RIGHT('SOP template'!$B$1,7),_xlfn.NUMBERVALUE(RIGHT($S170,2)),"")</f>
        <v/>
      </c>
      <c r="U170" s="182"/>
      <c r="V170" s="182"/>
      <c r="W170" s="182"/>
      <c r="X170" s="182"/>
      <c r="Y170" s="182" t="s">
        <v>709</v>
      </c>
      <c r="Z170" s="182"/>
      <c r="AA170" s="186" t="str">
        <f>IFERROR(VLOOKUP(IFERROR(LEFT(S170,4),""),Ref!$AF$2:$AG$5,2,0),"")</f>
        <v/>
      </c>
      <c r="AB170" s="186"/>
      <c r="AC170" s="218" t="s">
        <v>169</v>
      </c>
      <c r="AD170" s="187" t="str">
        <f>IFERROR(VLOOKUP(AC170,'Training Matrix'!B$4:C$24,2,0),"")</f>
        <v>Technician</v>
      </c>
      <c r="AE170" s="221">
        <v>45792</v>
      </c>
      <c r="AF170" s="188">
        <f t="shared" si="181"/>
        <v>46522</v>
      </c>
      <c r="AG170" s="189" t="str">
        <f t="shared" ca="1" si="182"/>
        <v>Current</v>
      </c>
      <c r="AH170" s="50" t="str">
        <f t="shared" ref="AH170" si="229">IF(OR(AC170="",AE170=""),"",CONCATENATE(AC170,"_",K166,"_",L166))</f>
        <v>Person 5_ALP.BSP.SOP.010_Nederman Arm</v>
      </c>
    </row>
    <row r="171" spans="1:34" x14ac:dyDescent="0.25">
      <c r="A171" s="5" t="str">
        <f>IF(LEFT(F171,15)='SOP template'!$B$1,1,"")</f>
        <v/>
      </c>
      <c r="B171" s="190" t="str">
        <f t="shared" si="176"/>
        <v>SOP.010.6</v>
      </c>
      <c r="C171" s="190" t="str">
        <f t="shared" si="225"/>
        <v>SOP.010.3.4</v>
      </c>
      <c r="D171" s="190" t="str">
        <f t="shared" si="226"/>
        <v>SOP.010.2.5</v>
      </c>
      <c r="E171" s="190">
        <f t="shared" si="173"/>
        <v>6</v>
      </c>
      <c r="F171" s="190" t="str">
        <f t="shared" si="177"/>
        <v>ALP.BSP.SOP.010.06</v>
      </c>
      <c r="G171" s="190" t="str">
        <f>IF(ISBLANK(N171),"",CONCATENATE(LEFT(F171,15),".",INDEX(Ref!A:A,MATCH(N171,Ref!$K$1:$K$333,0))))</f>
        <v/>
      </c>
      <c r="H171" s="180"/>
      <c r="I171" s="217"/>
      <c r="J171" s="180"/>
      <c r="K171" s="181"/>
      <c r="L171" s="182"/>
      <c r="M171" s="182"/>
      <c r="N171" s="183"/>
      <c r="O171" s="182"/>
      <c r="P171" s="182"/>
      <c r="Q171" s="184"/>
      <c r="R171" s="184"/>
      <c r="S171" s="185" t="str">
        <f>IFERROR(CLEAN(INDEX('Risk Matrix'!$H$7:$L$11,MATCH($Q171,'Risk Matrix'!$F$7:$F$11,0),MATCH($R171,'Risk Matrix'!$H$6:$L$6,0))),"")</f>
        <v/>
      </c>
      <c r="T171" s="85" t="str">
        <f>IF(LEFT($B171,7)=RIGHT('SOP template'!$B$1,7),_xlfn.NUMBERVALUE(RIGHT($S171,2)),"")</f>
        <v/>
      </c>
      <c r="U171" s="182"/>
      <c r="V171" s="182"/>
      <c r="W171" s="182"/>
      <c r="X171" s="182"/>
      <c r="Y171" s="182"/>
      <c r="Z171" s="182"/>
      <c r="AA171" s="186" t="str">
        <f>IFERROR(VLOOKUP(IFERROR(LEFT(S171,4),""),Ref!$AF$2:$AG$5,2,0),"")</f>
        <v/>
      </c>
      <c r="AB171" s="186"/>
      <c r="AC171" s="218" t="s">
        <v>170</v>
      </c>
      <c r="AD171" s="187" t="str">
        <f>IFERROR(VLOOKUP(AC171,'Training Matrix'!B$4:C$24,2,0),"")</f>
        <v>Scientist</v>
      </c>
      <c r="AE171" s="221">
        <v>45792</v>
      </c>
      <c r="AF171" s="188">
        <f t="shared" si="181"/>
        <v>46522</v>
      </c>
      <c r="AG171" s="189" t="str">
        <f t="shared" ca="1" si="182"/>
        <v>Current</v>
      </c>
      <c r="AH171" s="50" t="str">
        <f t="shared" ref="AH171" si="230">IF(OR(AC171="",AE171=""),"",CONCATENATE(AC171,"_",K166,"_",L166))</f>
        <v>Person 6_ALP.BSP.SOP.010_Nederman Arm</v>
      </c>
    </row>
    <row r="172" spans="1:34" x14ac:dyDescent="0.25">
      <c r="A172" s="5" t="str">
        <f>IF(LEFT(F172,15)='SOP template'!$B$1,1,"")</f>
        <v/>
      </c>
      <c r="B172" s="190" t="str">
        <f t="shared" si="176"/>
        <v>SOP.010.7</v>
      </c>
      <c r="C172" s="190" t="str">
        <f t="shared" si="225"/>
        <v>SOP.010.4</v>
      </c>
      <c r="D172" s="190" t="str">
        <f t="shared" si="226"/>
        <v>SOP.010.3</v>
      </c>
      <c r="E172" s="190">
        <f t="shared" si="173"/>
        <v>7</v>
      </c>
      <c r="F172" s="190" t="str">
        <f t="shared" si="177"/>
        <v>ALP.BSP.SOP.010.07</v>
      </c>
      <c r="G172" s="190" t="str">
        <f>IF(ISBLANK(N172),"",CONCATENATE(LEFT(F172,15),".",INDEX(Ref!A:A,MATCH(N172,Ref!$K$1:$K$333,0))))</f>
        <v/>
      </c>
      <c r="H172" s="180"/>
      <c r="I172" s="217"/>
      <c r="J172" s="180"/>
      <c r="K172" s="181"/>
      <c r="L172" s="182"/>
      <c r="M172" s="182"/>
      <c r="N172" s="183"/>
      <c r="O172" s="182"/>
      <c r="P172" s="182"/>
      <c r="Q172" s="184"/>
      <c r="R172" s="184"/>
      <c r="S172" s="185" t="str">
        <f>IFERROR(CLEAN(INDEX('Risk Matrix'!$H$7:$L$11,MATCH($Q172,'Risk Matrix'!$F$7:$F$11,0),MATCH($R172,'Risk Matrix'!$H$6:$L$6,0))),"")</f>
        <v/>
      </c>
      <c r="T172" s="85" t="str">
        <f>IF(LEFT($B172,7)=RIGHT('SOP template'!$B$1,7),_xlfn.NUMBERVALUE(RIGHT($S172,2)),"")</f>
        <v/>
      </c>
      <c r="U172" s="182"/>
      <c r="V172" s="182"/>
      <c r="W172" s="182"/>
      <c r="X172" s="182"/>
      <c r="Y172" s="182"/>
      <c r="Z172" s="182"/>
      <c r="AA172" s="186" t="str">
        <f>IFERROR(VLOOKUP(IFERROR(LEFT(S172,4),""),Ref!$AF$2:$AG$5,2,0),"")</f>
        <v/>
      </c>
      <c r="AB172" s="186"/>
      <c r="AC172" s="218"/>
      <c r="AD172" s="187" t="str">
        <f>IFERROR(VLOOKUP(AC172,'Training Matrix'!B$4:C$24,2,0),"")</f>
        <v/>
      </c>
      <c r="AE172" s="221"/>
      <c r="AF172" s="188" t="str">
        <f t="shared" si="181"/>
        <v/>
      </c>
      <c r="AG172" s="189" t="str">
        <f t="shared" ca="1" si="182"/>
        <v/>
      </c>
      <c r="AH172" s="50" t="str">
        <f t="shared" ref="AH172" si="231">IF(OR(AC172="",AE172=""),"",CONCATENATE(AC172,"_",K166,"_",L166))</f>
        <v/>
      </c>
    </row>
    <row r="173" spans="1:34" x14ac:dyDescent="0.25">
      <c r="A173" s="5" t="str">
        <f>IF(LEFT(F173,15)='SOP template'!$B$1,1,"")</f>
        <v/>
      </c>
      <c r="B173" s="190" t="str">
        <f t="shared" si="176"/>
        <v>SOP.010.8</v>
      </c>
      <c r="C173" s="190" t="str">
        <f t="shared" si="225"/>
        <v>SOP.010.4.4</v>
      </c>
      <c r="D173" s="190" t="str">
        <f t="shared" si="226"/>
        <v>SOP.010.3.3</v>
      </c>
      <c r="E173" s="190">
        <f t="shared" si="173"/>
        <v>8</v>
      </c>
      <c r="F173" s="190" t="str">
        <f t="shared" si="177"/>
        <v>ALP.BSP.SOP.010.08</v>
      </c>
      <c r="G173" s="190" t="str">
        <f>IF(ISBLANK(N173),"",CONCATENATE(LEFT(F173,15),".",INDEX(Ref!A:A,MATCH(N173,Ref!$K$1:$K$333,0))))</f>
        <v/>
      </c>
      <c r="H173" s="180"/>
      <c r="I173" s="217"/>
      <c r="J173" s="180"/>
      <c r="K173" s="181"/>
      <c r="L173" s="182"/>
      <c r="M173" s="182"/>
      <c r="N173" s="183"/>
      <c r="O173" s="182"/>
      <c r="P173" s="182"/>
      <c r="Q173" s="184"/>
      <c r="R173" s="184"/>
      <c r="S173" s="185" t="str">
        <f>IFERROR(CLEAN(INDEX('Risk Matrix'!$H$7:$L$11,MATCH($Q173,'Risk Matrix'!$F$7:$F$11,0),MATCH($R173,'Risk Matrix'!$H$6:$L$6,0))),"")</f>
        <v/>
      </c>
      <c r="T173" s="85" t="str">
        <f>IF(LEFT($B173,7)=RIGHT('SOP template'!$B$1,7),_xlfn.NUMBERVALUE(RIGHT($S173,2)),"")</f>
        <v/>
      </c>
      <c r="U173" s="182"/>
      <c r="V173" s="182"/>
      <c r="W173" s="182"/>
      <c r="X173" s="182"/>
      <c r="Y173" s="182"/>
      <c r="Z173" s="182"/>
      <c r="AA173" s="186" t="str">
        <f>IFERROR(VLOOKUP(IFERROR(LEFT(S173,4),""),Ref!$AF$2:$AG$5,2,0),"")</f>
        <v/>
      </c>
      <c r="AB173" s="186"/>
      <c r="AC173" s="218"/>
      <c r="AD173" s="187" t="str">
        <f>IFERROR(VLOOKUP(AC173,'Training Matrix'!B$4:C$24,2,0),"")</f>
        <v/>
      </c>
      <c r="AE173" s="218"/>
      <c r="AF173" s="188" t="str">
        <f t="shared" si="181"/>
        <v/>
      </c>
      <c r="AG173" s="189" t="str">
        <f t="shared" ca="1" si="182"/>
        <v/>
      </c>
      <c r="AH173" s="50" t="str">
        <f t="shared" ref="AH173" si="232">IF(OR(AC173="",AE173=""),"",CONCATENATE(AC173,"_",K166,"_",L166))</f>
        <v/>
      </c>
    </row>
    <row r="174" spans="1:34" x14ac:dyDescent="0.25">
      <c r="A174" s="5" t="str">
        <f>IF(LEFT(F174,15)='SOP template'!$B$1,1,"")</f>
        <v/>
      </c>
      <c r="B174" s="190" t="str">
        <f t="shared" si="176"/>
        <v>SOP.010.9</v>
      </c>
      <c r="C174" s="190" t="str">
        <f t="shared" si="225"/>
        <v>SOP.010.5</v>
      </c>
      <c r="D174" s="190" t="str">
        <f t="shared" si="226"/>
        <v>SOP.010.3.5</v>
      </c>
      <c r="E174" s="190">
        <f t="shared" si="173"/>
        <v>9</v>
      </c>
      <c r="F174" s="190" t="str">
        <f t="shared" si="177"/>
        <v>ALP.BSP.SOP.010.09</v>
      </c>
      <c r="G174" s="190" t="str">
        <f>IF(ISBLANK(N174),"",CONCATENATE(LEFT(F174,15),".",INDEX(Ref!A:A,MATCH(N174,Ref!$K$1:$K$333,0))))</f>
        <v/>
      </c>
      <c r="H174" s="180"/>
      <c r="I174" s="217"/>
      <c r="J174" s="180"/>
      <c r="K174" s="181"/>
      <c r="L174" s="182"/>
      <c r="M174" s="182"/>
      <c r="N174" s="183"/>
      <c r="O174" s="182"/>
      <c r="P174" s="182"/>
      <c r="Q174" s="184"/>
      <c r="R174" s="184"/>
      <c r="S174" s="185" t="str">
        <f>IFERROR(CLEAN(INDEX('Risk Matrix'!$H$7:$L$11,MATCH($Q174,'Risk Matrix'!$F$7:$F$11,0),MATCH($R174,'Risk Matrix'!$H$6:$L$6,0))),"")</f>
        <v/>
      </c>
      <c r="T174" s="85" t="str">
        <f>IF(LEFT($B174,7)=RIGHT('SOP template'!$B$1,7),_xlfn.NUMBERVALUE(RIGHT($S174,2)),"")</f>
        <v/>
      </c>
      <c r="U174" s="182"/>
      <c r="V174" s="182"/>
      <c r="W174" s="182"/>
      <c r="X174" s="182"/>
      <c r="Y174" s="182"/>
      <c r="Z174" s="182"/>
      <c r="AA174" s="186" t="str">
        <f>IFERROR(VLOOKUP(IFERROR(LEFT(S174,4),""),Ref!$AF$2:$AG$5,2,0),"")</f>
        <v/>
      </c>
      <c r="AB174" s="186"/>
      <c r="AC174" s="218"/>
      <c r="AD174" s="187" t="str">
        <f>IFERROR(VLOOKUP(AC174,'Training Matrix'!B$4:C$24,2,0),"")</f>
        <v/>
      </c>
      <c r="AE174" s="218"/>
      <c r="AF174" s="188" t="str">
        <f t="shared" si="181"/>
        <v/>
      </c>
      <c r="AG174" s="189" t="str">
        <f t="shared" ca="1" si="182"/>
        <v/>
      </c>
      <c r="AH174" s="50" t="str">
        <f t="shared" ref="AH174" si="233">IF(OR(AC174="",AE174=""),"",CONCATENATE(AC174,"_",K166,"_",L166))</f>
        <v/>
      </c>
    </row>
    <row r="175" spans="1:34" x14ac:dyDescent="0.25">
      <c r="A175" s="5" t="str">
        <f>IF(LEFT(F175,15)='SOP template'!$B$1,1,"")</f>
        <v/>
      </c>
      <c r="B175" s="190" t="str">
        <f t="shared" si="176"/>
        <v>SOP.010.10</v>
      </c>
      <c r="C175" s="190" t="str">
        <f t="shared" si="225"/>
        <v>SOP.010.5.4</v>
      </c>
      <c r="D175" s="190" t="str">
        <f t="shared" si="226"/>
        <v>SOP.010.4</v>
      </c>
      <c r="E175" s="190">
        <f t="shared" si="173"/>
        <v>10</v>
      </c>
      <c r="F175" s="190" t="str">
        <f t="shared" si="177"/>
        <v>ALP.BSP.SOP.010.10</v>
      </c>
      <c r="G175" s="190" t="str">
        <f>IF(ISBLANK(N175),"",CONCATENATE(LEFT(F175,15),".",INDEX(Ref!A:A,MATCH(N175,Ref!$K$1:$K$333,0))))</f>
        <v/>
      </c>
      <c r="H175" s="180"/>
      <c r="I175" s="217"/>
      <c r="J175" s="180"/>
      <c r="K175" s="181"/>
      <c r="L175" s="182"/>
      <c r="M175" s="182"/>
      <c r="N175" s="183"/>
      <c r="O175" s="182"/>
      <c r="P175" s="182"/>
      <c r="Q175" s="184"/>
      <c r="R175" s="184"/>
      <c r="S175" s="185" t="str">
        <f>IFERROR(CLEAN(INDEX('Risk Matrix'!$H$7:$L$11,MATCH($Q175,'Risk Matrix'!$F$7:$F$11,0),MATCH($R175,'Risk Matrix'!$H$6:$L$6,0))),"")</f>
        <v/>
      </c>
      <c r="T175" s="85" t="str">
        <f>IF(LEFT($B175,7)=RIGHT('SOP template'!$B$1,7),_xlfn.NUMBERVALUE(RIGHT($S175,2)),"")</f>
        <v/>
      </c>
      <c r="U175" s="182"/>
      <c r="V175" s="182"/>
      <c r="W175" s="182"/>
      <c r="X175" s="182"/>
      <c r="Y175" s="182"/>
      <c r="Z175" s="182"/>
      <c r="AA175" s="186" t="str">
        <f>IFERROR(VLOOKUP(IFERROR(LEFT(S175,4),""),Ref!$AF$2:$AG$5,2,0),"")</f>
        <v/>
      </c>
      <c r="AB175" s="186"/>
      <c r="AC175" s="218"/>
      <c r="AD175" s="187" t="str">
        <f>IFERROR(VLOOKUP(AC175,'Training Matrix'!B$4:C$24,2,0),"")</f>
        <v/>
      </c>
      <c r="AE175" s="218"/>
      <c r="AF175" s="188" t="str">
        <f t="shared" si="181"/>
        <v/>
      </c>
      <c r="AG175" s="189" t="str">
        <f t="shared" ca="1" si="182"/>
        <v/>
      </c>
      <c r="AH175" s="50" t="str">
        <f t="shared" ref="AH175" si="234">IF(OR(AC175="",AE175=""),"",CONCATENATE(AC175,"_",K166,"_",L166))</f>
        <v/>
      </c>
    </row>
    <row r="176" spans="1:34" x14ac:dyDescent="0.25">
      <c r="A176" s="5" t="str">
        <f>IF(LEFT(F176,15)='SOP template'!$B$1,1,"")</f>
        <v/>
      </c>
      <c r="B176" s="190" t="str">
        <f t="shared" ref="B176:B183" si="235">CONCATENATE(LEFT(B175,8),E176)</f>
        <v>SOP.010.11</v>
      </c>
      <c r="C176" s="190" t="str">
        <f t="shared" si="225"/>
        <v>SOP.010.6</v>
      </c>
      <c r="D176" s="190" t="str">
        <f t="shared" si="226"/>
        <v>SOP.010.4.3</v>
      </c>
      <c r="E176" s="190">
        <f t="shared" si="173"/>
        <v>11</v>
      </c>
      <c r="F176" s="190" t="str">
        <f t="shared" ref="F176:F183" si="236">IF(K176=0,LEFT(F175,16)&amp;TEXT(E176,"00"),K176&amp;"."&amp;TEXT(E176,"00"))</f>
        <v>ALP.BSP.SOP.010.11</v>
      </c>
      <c r="G176" s="190" t="str">
        <f>IF(ISBLANK(N176),"",CONCATENATE(LEFT(F176,15),".",INDEX(Ref!A:A,MATCH(N176,Ref!$K$1:$K$333,0))))</f>
        <v/>
      </c>
      <c r="H176" s="180"/>
      <c r="I176" s="217"/>
      <c r="J176" s="180"/>
      <c r="K176" s="181"/>
      <c r="L176" s="182"/>
      <c r="M176" s="182"/>
      <c r="N176" s="183"/>
      <c r="O176" s="182"/>
      <c r="P176" s="182"/>
      <c r="Q176" s="184"/>
      <c r="R176" s="184"/>
      <c r="S176" s="185" t="str">
        <f>IFERROR(CLEAN(INDEX('Risk Matrix'!$H$7:$L$11,MATCH($Q176,'Risk Matrix'!$F$7:$F$11,0),MATCH($R176,'Risk Matrix'!$H$6:$L$6,0))),"")</f>
        <v/>
      </c>
      <c r="T176" s="85" t="str">
        <f>IF(LEFT($B176,7)=RIGHT('SOP template'!$B$1,7),_xlfn.NUMBERVALUE(RIGHT($S176,2)),"")</f>
        <v/>
      </c>
      <c r="U176" s="182"/>
      <c r="V176" s="182"/>
      <c r="W176" s="182"/>
      <c r="X176" s="182"/>
      <c r="Y176" s="182"/>
      <c r="Z176" s="182"/>
      <c r="AA176" s="186" t="str">
        <f>IFERROR(VLOOKUP(IFERROR(LEFT(S176,4),""),Ref!$AF$2:$AG$5,2,0),"")</f>
        <v/>
      </c>
      <c r="AB176" s="186"/>
      <c r="AC176" s="218"/>
      <c r="AD176" s="187" t="str">
        <f>IFERROR(VLOOKUP(AC176,'Training Matrix'!B$4:C$24,2,0),"")</f>
        <v/>
      </c>
      <c r="AE176" s="218"/>
      <c r="AF176" s="188" t="str">
        <f t="shared" si="181"/>
        <v/>
      </c>
      <c r="AG176" s="189" t="str">
        <f t="shared" ca="1" si="182"/>
        <v/>
      </c>
      <c r="AH176" s="50" t="str">
        <f t="shared" ref="AH176" si="237">IF(OR(AC176="",AE176=""),"",CONCATENATE(AC176,"_",K166,"_",L166))</f>
        <v/>
      </c>
    </row>
    <row r="177" spans="1:34" x14ac:dyDescent="0.25">
      <c r="A177" s="5" t="str">
        <f>IF(LEFT(F177,15)='SOP template'!$B$1,1,"")</f>
        <v/>
      </c>
      <c r="B177" s="190" t="str">
        <f t="shared" si="235"/>
        <v>SOP.010.12</v>
      </c>
      <c r="C177" s="190" t="str">
        <f t="shared" si="225"/>
        <v>SOP.010.6.4</v>
      </c>
      <c r="D177" s="190" t="str">
        <f t="shared" si="226"/>
        <v>SOP.010.4.5</v>
      </c>
      <c r="E177" s="190">
        <f t="shared" si="173"/>
        <v>12</v>
      </c>
      <c r="F177" s="190" t="str">
        <f t="shared" si="236"/>
        <v>ALP.BSP.SOP.010.12</v>
      </c>
      <c r="G177" s="190" t="str">
        <f>IF(ISBLANK(N177),"",CONCATENATE(LEFT(F177,15),".",INDEX(Ref!A:A,MATCH(N177,Ref!$K$1:$K$333,0))))</f>
        <v/>
      </c>
      <c r="H177" s="180"/>
      <c r="I177" s="217"/>
      <c r="J177" s="180"/>
      <c r="K177" s="181"/>
      <c r="L177" s="182"/>
      <c r="M177" s="182"/>
      <c r="N177" s="183"/>
      <c r="O177" s="182"/>
      <c r="P177" s="182"/>
      <c r="Q177" s="184"/>
      <c r="R177" s="184"/>
      <c r="S177" s="185" t="str">
        <f>IFERROR(CLEAN(INDEX('Risk Matrix'!$H$7:$L$11,MATCH($Q177,'Risk Matrix'!$F$7:$F$11,0),MATCH($R177,'Risk Matrix'!$H$6:$L$6,0))),"")</f>
        <v/>
      </c>
      <c r="T177" s="85" t="str">
        <f>IF(LEFT($B177,7)=RIGHT('SOP template'!$B$1,7),_xlfn.NUMBERVALUE(RIGHT($S177,2)),"")</f>
        <v/>
      </c>
      <c r="U177" s="182"/>
      <c r="V177" s="182"/>
      <c r="W177" s="182"/>
      <c r="X177" s="182"/>
      <c r="Y177" s="182"/>
      <c r="Z177" s="182"/>
      <c r="AA177" s="186" t="str">
        <f>IFERROR(VLOOKUP(IFERROR(LEFT(S177,4),""),Ref!$AF$2:$AG$5,2,0),"")</f>
        <v/>
      </c>
      <c r="AB177" s="186"/>
      <c r="AC177" s="218"/>
      <c r="AD177" s="187" t="str">
        <f>IFERROR(VLOOKUP(AC177,'Training Matrix'!B$4:C$24,2,0),"")</f>
        <v/>
      </c>
      <c r="AE177" s="218"/>
      <c r="AF177" s="188" t="str">
        <f t="shared" si="181"/>
        <v/>
      </c>
      <c r="AG177" s="189" t="str">
        <f t="shared" ca="1" si="182"/>
        <v/>
      </c>
      <c r="AH177" s="50" t="str">
        <f t="shared" ref="AH177" si="238">IF(OR(AC177="",AE177=""),"",CONCATENATE(AC177,"_",K166,"_",L166))</f>
        <v/>
      </c>
    </row>
    <row r="178" spans="1:34" x14ac:dyDescent="0.25">
      <c r="A178" s="5" t="str">
        <f>IF(LEFT(F178,15)='SOP template'!$B$1,1,"")</f>
        <v/>
      </c>
      <c r="B178" s="190" t="str">
        <f t="shared" si="235"/>
        <v>SOP.010.13</v>
      </c>
      <c r="C178" s="190" t="str">
        <f t="shared" si="225"/>
        <v>SOP.010.</v>
      </c>
      <c r="D178" s="190" t="str">
        <f t="shared" si="226"/>
        <v>SOP.010.</v>
      </c>
      <c r="E178" s="190">
        <f t="shared" si="173"/>
        <v>13</v>
      </c>
      <c r="F178" s="190" t="str">
        <f t="shared" si="236"/>
        <v>ALP.BSP.SOP.010.13</v>
      </c>
      <c r="G178" s="190" t="str">
        <f>IF(ISBLANK(N178),"",CONCATENATE(LEFT(F178,15),".",INDEX(Ref!A:A,MATCH(N178,Ref!$K$1:$K$333,0))))</f>
        <v/>
      </c>
      <c r="H178" s="180"/>
      <c r="I178" s="217"/>
      <c r="J178" s="180"/>
      <c r="K178" s="181"/>
      <c r="L178" s="182"/>
      <c r="M178" s="182"/>
      <c r="N178" s="183"/>
      <c r="O178" s="182"/>
      <c r="P178" s="182"/>
      <c r="Q178" s="184"/>
      <c r="R178" s="184"/>
      <c r="S178" s="185" t="str">
        <f>IFERROR(CLEAN(INDEX('Risk Matrix'!$H$7:$L$11,MATCH($Q178,'Risk Matrix'!$F$7:$F$11,0),MATCH($R178,'Risk Matrix'!$H$6:$L$6,0))),"")</f>
        <v/>
      </c>
      <c r="T178" s="85" t="str">
        <f>IF(LEFT($B178,7)=RIGHT('SOP template'!$B$1,7),_xlfn.NUMBERVALUE(RIGHT($S178,2)),"")</f>
        <v/>
      </c>
      <c r="U178" s="182"/>
      <c r="V178" s="182"/>
      <c r="W178" s="182"/>
      <c r="X178" s="182"/>
      <c r="Y178" s="182"/>
      <c r="Z178" s="182"/>
      <c r="AA178" s="186" t="str">
        <f>IFERROR(VLOOKUP(IFERROR(LEFT(S178,4),""),Ref!$AF$2:$AG$5,2,0),"")</f>
        <v/>
      </c>
      <c r="AB178" s="186"/>
      <c r="AC178" s="218"/>
      <c r="AD178" s="187" t="str">
        <f>IFERROR(VLOOKUP(AC178,'Training Matrix'!B$4:C$24,2,0),"")</f>
        <v/>
      </c>
      <c r="AE178" s="218"/>
      <c r="AF178" s="188" t="str">
        <f t="shared" si="181"/>
        <v/>
      </c>
      <c r="AG178" s="189" t="str">
        <f t="shared" ca="1" si="182"/>
        <v/>
      </c>
      <c r="AH178" s="50" t="str">
        <f t="shared" ref="AH178" si="239">IF(OR(AC178="",AE178=""),"",CONCATENATE(AC178,"_",K166,"_",L166))</f>
        <v/>
      </c>
    </row>
    <row r="179" spans="1:34" x14ac:dyDescent="0.25">
      <c r="A179" s="5" t="str">
        <f>IF(LEFT(F179,15)='SOP template'!$B$1,1,"")</f>
        <v/>
      </c>
      <c r="B179" s="190" t="str">
        <f t="shared" si="235"/>
        <v>SOP.010.14</v>
      </c>
      <c r="C179" s="190" t="str">
        <f t="shared" si="225"/>
        <v>SOP.010.</v>
      </c>
      <c r="D179" s="190" t="str">
        <f t="shared" si="226"/>
        <v>SOP.010.</v>
      </c>
      <c r="E179" s="190">
        <f t="shared" si="173"/>
        <v>14</v>
      </c>
      <c r="F179" s="190" t="str">
        <f t="shared" si="236"/>
        <v>ALP.BSP.SOP.010.14</v>
      </c>
      <c r="G179" s="190" t="str">
        <f>IF(ISBLANK(N179),"",CONCATENATE(LEFT(F179,15),".",INDEX(Ref!A:A,MATCH(N179,Ref!$K$1:$K$333,0))))</f>
        <v/>
      </c>
      <c r="H179" s="180"/>
      <c r="I179" s="217"/>
      <c r="J179" s="180"/>
      <c r="K179" s="181"/>
      <c r="L179" s="182"/>
      <c r="M179" s="182"/>
      <c r="N179" s="183"/>
      <c r="O179" s="182"/>
      <c r="P179" s="182"/>
      <c r="Q179" s="184"/>
      <c r="R179" s="184"/>
      <c r="S179" s="185" t="str">
        <f>IFERROR(CLEAN(INDEX('Risk Matrix'!$H$7:$L$11,MATCH($Q179,'Risk Matrix'!$F$7:$F$11,0),MATCH($R179,'Risk Matrix'!$H$6:$L$6,0))),"")</f>
        <v/>
      </c>
      <c r="T179" s="85" t="str">
        <f>IF(LEFT($B179,7)=RIGHT('SOP template'!$B$1,7),_xlfn.NUMBERVALUE(RIGHT($S179,2)),"")</f>
        <v/>
      </c>
      <c r="U179" s="182"/>
      <c r="V179" s="182"/>
      <c r="W179" s="182"/>
      <c r="X179" s="182"/>
      <c r="Y179" s="182"/>
      <c r="Z179" s="182"/>
      <c r="AA179" s="186" t="str">
        <f>IFERROR(VLOOKUP(IFERROR(LEFT(S179,4),""),Ref!$AF$2:$AG$5,2,0),"")</f>
        <v/>
      </c>
      <c r="AB179" s="186"/>
      <c r="AC179" s="218"/>
      <c r="AD179" s="187" t="str">
        <f>IFERROR(VLOOKUP(AC179,'Training Matrix'!B$4:C$24,2,0),"")</f>
        <v/>
      </c>
      <c r="AE179" s="218"/>
      <c r="AF179" s="188" t="str">
        <f t="shared" si="181"/>
        <v/>
      </c>
      <c r="AG179" s="189" t="str">
        <f t="shared" ca="1" si="182"/>
        <v/>
      </c>
      <c r="AH179" s="50" t="str">
        <f t="shared" ref="AH179" si="240">IF(OR(AC179="",AE179=""),"",CONCATENATE(AC179,"_",K166,"_",L166))</f>
        <v/>
      </c>
    </row>
    <row r="180" spans="1:34" x14ac:dyDescent="0.25">
      <c r="A180" s="5" t="str">
        <f>IF(LEFT(F180,15)='SOP template'!$B$1,1,"")</f>
        <v/>
      </c>
      <c r="B180" s="190" t="str">
        <f t="shared" si="235"/>
        <v>SOP.010.15</v>
      </c>
      <c r="C180" s="190" t="str">
        <f t="shared" si="225"/>
        <v>SOP.010.</v>
      </c>
      <c r="D180" s="190" t="str">
        <f t="shared" si="226"/>
        <v>SOP.010.</v>
      </c>
      <c r="E180" s="190">
        <f t="shared" si="173"/>
        <v>15</v>
      </c>
      <c r="F180" s="190" t="str">
        <f t="shared" si="236"/>
        <v>ALP.BSP.SOP.010.15</v>
      </c>
      <c r="G180" s="190" t="str">
        <f>IF(ISBLANK(N180),"",CONCATENATE(LEFT(F180,15),".",INDEX(Ref!A:A,MATCH(N180,Ref!$K$1:$K$333,0))))</f>
        <v/>
      </c>
      <c r="H180" s="180"/>
      <c r="I180" s="217"/>
      <c r="J180" s="180"/>
      <c r="K180" s="181"/>
      <c r="L180" s="182"/>
      <c r="M180" s="182"/>
      <c r="N180" s="183"/>
      <c r="O180" s="182"/>
      <c r="P180" s="182"/>
      <c r="Q180" s="184"/>
      <c r="R180" s="184"/>
      <c r="S180" s="185" t="str">
        <f>IFERROR(CLEAN(INDEX('Risk Matrix'!$H$7:$L$11,MATCH($Q180,'Risk Matrix'!$F$7:$F$11,0),MATCH($R180,'Risk Matrix'!$H$6:$L$6,0))),"")</f>
        <v/>
      </c>
      <c r="T180" s="85" t="str">
        <f>IF(LEFT($B180,7)=RIGHT('SOP template'!$B$1,7),_xlfn.NUMBERVALUE(RIGHT($S180,2)),"")</f>
        <v/>
      </c>
      <c r="U180" s="182"/>
      <c r="V180" s="182"/>
      <c r="W180" s="182"/>
      <c r="X180" s="182"/>
      <c r="Y180" s="182"/>
      <c r="Z180" s="182"/>
      <c r="AA180" s="186" t="str">
        <f>IFERROR(VLOOKUP(IFERROR(LEFT(S180,4),""),Ref!$AF$2:$AG$5,2,0),"")</f>
        <v/>
      </c>
      <c r="AB180" s="186"/>
      <c r="AC180" s="218"/>
      <c r="AD180" s="187" t="str">
        <f>IFERROR(VLOOKUP(AC180,'Training Matrix'!B$4:C$24,2,0),"")</f>
        <v/>
      </c>
      <c r="AE180" s="218"/>
      <c r="AF180" s="188" t="str">
        <f t="shared" si="181"/>
        <v/>
      </c>
      <c r="AG180" s="189" t="str">
        <f t="shared" ca="1" si="182"/>
        <v/>
      </c>
      <c r="AH180" s="50" t="str">
        <f t="shared" ref="AH180" si="241">IF(OR(AC180="",AE180=""),"",CONCATENATE(AC180,"_",K166,"_",L166))</f>
        <v/>
      </c>
    </row>
    <row r="181" spans="1:34" x14ac:dyDescent="0.25">
      <c r="A181" s="5" t="str">
        <f>IF(LEFT(F181,15)='SOP template'!$B$1,1,"")</f>
        <v/>
      </c>
      <c r="B181" s="190" t="str">
        <f t="shared" si="235"/>
        <v>SOP.010.16</v>
      </c>
      <c r="C181" s="190" t="str">
        <f t="shared" si="225"/>
        <v>SOP.010.</v>
      </c>
      <c r="D181" s="190" t="str">
        <f t="shared" si="226"/>
        <v>SOP.010.</v>
      </c>
      <c r="E181" s="190">
        <f t="shared" si="173"/>
        <v>16</v>
      </c>
      <c r="F181" s="190" t="str">
        <f t="shared" si="236"/>
        <v>ALP.BSP.SOP.010.16</v>
      </c>
      <c r="G181" s="190" t="str">
        <f>IF(ISBLANK(N181),"",CONCATENATE(LEFT(F181,15),".",INDEX(Ref!A:A,MATCH(N181,Ref!$K$1:$K$333,0))))</f>
        <v/>
      </c>
      <c r="H181" s="180"/>
      <c r="I181" s="217"/>
      <c r="J181" s="180"/>
      <c r="K181" s="181"/>
      <c r="L181" s="182"/>
      <c r="M181" s="182"/>
      <c r="N181" s="183"/>
      <c r="O181" s="182"/>
      <c r="P181" s="182"/>
      <c r="Q181" s="184"/>
      <c r="R181" s="184"/>
      <c r="S181" s="185" t="str">
        <f>IFERROR(CLEAN(INDEX('Risk Matrix'!$H$7:$L$11,MATCH($Q181,'Risk Matrix'!$F$7:$F$11,0),MATCH($R181,'Risk Matrix'!$H$6:$L$6,0))),"")</f>
        <v/>
      </c>
      <c r="T181" s="85" t="str">
        <f>IF(LEFT($B181,7)=RIGHT('SOP template'!$B$1,7),_xlfn.NUMBERVALUE(RIGHT($S181,2)),"")</f>
        <v/>
      </c>
      <c r="U181" s="182"/>
      <c r="V181" s="182"/>
      <c r="W181" s="182"/>
      <c r="X181" s="182"/>
      <c r="Y181" s="182"/>
      <c r="Z181" s="182"/>
      <c r="AA181" s="186" t="str">
        <f>IFERROR(VLOOKUP(IFERROR(LEFT(S181,4),""),Ref!$AF$2:$AG$5,2,0),"")</f>
        <v/>
      </c>
      <c r="AB181" s="186"/>
      <c r="AC181" s="218"/>
      <c r="AD181" s="187" t="str">
        <f>IFERROR(VLOOKUP(AC181,'Training Matrix'!B$4:C$24,2,0),"")</f>
        <v/>
      </c>
      <c r="AE181" s="218"/>
      <c r="AF181" s="188" t="str">
        <f t="shared" si="181"/>
        <v/>
      </c>
      <c r="AG181" s="189" t="str">
        <f t="shared" ca="1" si="182"/>
        <v/>
      </c>
      <c r="AH181" s="50" t="str">
        <f t="shared" ref="AH181" si="242">IF(OR(AC181="",AE181=""),"",CONCATENATE(AC181,"_",K166,"_",L166))</f>
        <v/>
      </c>
    </row>
    <row r="182" spans="1:34" x14ac:dyDescent="0.25">
      <c r="A182" s="5" t="str">
        <f>IF(LEFT(F182,15)='SOP template'!$B$1,1,"")</f>
        <v/>
      </c>
      <c r="B182" s="190" t="str">
        <f t="shared" si="235"/>
        <v>SOP.010.17</v>
      </c>
      <c r="C182" s="190" t="str">
        <f t="shared" si="225"/>
        <v>SOP.010.</v>
      </c>
      <c r="D182" s="190" t="str">
        <f t="shared" si="226"/>
        <v>SOP.010.</v>
      </c>
      <c r="E182" s="190">
        <f t="shared" si="173"/>
        <v>17</v>
      </c>
      <c r="F182" s="190" t="str">
        <f t="shared" si="236"/>
        <v>ALP.BSP.SOP.010.17</v>
      </c>
      <c r="G182" s="190" t="str">
        <f>IF(ISBLANK(N182),"",CONCATENATE(LEFT(F182,15),".",INDEX(Ref!A:A,MATCH(N182,Ref!$K$1:$K$333,0))))</f>
        <v/>
      </c>
      <c r="H182" s="180"/>
      <c r="I182" s="217"/>
      <c r="J182" s="180"/>
      <c r="K182" s="181"/>
      <c r="L182" s="182"/>
      <c r="M182" s="182"/>
      <c r="N182" s="183"/>
      <c r="O182" s="182"/>
      <c r="P182" s="182"/>
      <c r="Q182" s="184"/>
      <c r="R182" s="184"/>
      <c r="S182" s="185" t="str">
        <f>IFERROR(CLEAN(INDEX('Risk Matrix'!$H$7:$L$11,MATCH($Q182,'Risk Matrix'!$F$7:$F$11,0),MATCH($R182,'Risk Matrix'!$H$6:$L$6,0))),"")</f>
        <v/>
      </c>
      <c r="T182" s="85" t="str">
        <f>IF(LEFT($B182,7)=RIGHT('SOP template'!$B$1,7),_xlfn.NUMBERVALUE(RIGHT($S182,2)),"")</f>
        <v/>
      </c>
      <c r="U182" s="182"/>
      <c r="V182" s="182"/>
      <c r="W182" s="182"/>
      <c r="X182" s="182"/>
      <c r="Y182" s="182"/>
      <c r="Z182" s="182"/>
      <c r="AA182" s="186" t="str">
        <f>IFERROR(VLOOKUP(IFERROR(LEFT(S182,4),""),Ref!$AF$2:$AG$5,2,0),"")</f>
        <v/>
      </c>
      <c r="AB182" s="186"/>
      <c r="AC182" s="218"/>
      <c r="AD182" s="187" t="str">
        <f>IFERROR(VLOOKUP(AC182,'Training Matrix'!B$4:C$24,2,0),"")</f>
        <v/>
      </c>
      <c r="AE182" s="218"/>
      <c r="AF182" s="188" t="str">
        <f t="shared" si="181"/>
        <v/>
      </c>
      <c r="AG182" s="189" t="str">
        <f t="shared" ca="1" si="182"/>
        <v/>
      </c>
      <c r="AH182" s="50" t="str">
        <f t="shared" ref="AH182" si="243">IF(OR(AC182="",AE182=""),"",CONCATENATE(AC182,"_",K166,"_",L166))</f>
        <v/>
      </c>
    </row>
    <row r="183" spans="1:34" x14ac:dyDescent="0.25">
      <c r="A183" s="5" t="str">
        <f>IF(LEFT(F183,15)='SOP template'!$B$1,1,"")</f>
        <v/>
      </c>
      <c r="B183" s="190" t="str">
        <f t="shared" si="235"/>
        <v>SOP.010.18</v>
      </c>
      <c r="C183" s="190" t="str">
        <f t="shared" si="225"/>
        <v>SOP.010.</v>
      </c>
      <c r="D183" s="190" t="str">
        <f t="shared" si="226"/>
        <v>SOP.010.</v>
      </c>
      <c r="E183" s="190">
        <f t="shared" si="173"/>
        <v>18</v>
      </c>
      <c r="F183" s="190" t="str">
        <f t="shared" si="236"/>
        <v>ALP.BSP.SOP.010.18</v>
      </c>
      <c r="G183" s="190" t="str">
        <f>IF(ISBLANK(N183),"",CONCATENATE(LEFT(F183,15),".",INDEX(Ref!A:A,MATCH(N183,Ref!$K$1:$K$333,0))))</f>
        <v/>
      </c>
      <c r="H183" s="180"/>
      <c r="I183" s="217"/>
      <c r="J183" s="180"/>
      <c r="K183" s="181"/>
      <c r="L183" s="182"/>
      <c r="M183" s="182"/>
      <c r="N183" s="183"/>
      <c r="O183" s="182"/>
      <c r="P183" s="182"/>
      <c r="Q183" s="184"/>
      <c r="R183" s="184"/>
      <c r="S183" s="185" t="str">
        <f>IFERROR(CLEAN(INDEX('Risk Matrix'!$H$7:$L$11,MATCH($Q183,'Risk Matrix'!$F$7:$F$11,0),MATCH($R183,'Risk Matrix'!$H$6:$L$6,0))),"")</f>
        <v/>
      </c>
      <c r="T183" s="85" t="str">
        <f>IF(LEFT($B183,7)=RIGHT('SOP template'!$B$1,7),_xlfn.NUMBERVALUE(RIGHT($S183,2)),"")</f>
        <v/>
      </c>
      <c r="U183" s="182"/>
      <c r="V183" s="182"/>
      <c r="W183" s="182"/>
      <c r="X183" s="182"/>
      <c r="Y183" s="182"/>
      <c r="Z183" s="182"/>
      <c r="AA183" s="186" t="str">
        <f>IFERROR(VLOOKUP(IFERROR(LEFT(S183,4),""),Ref!$AF$2:$AG$5,2,0),"")</f>
        <v/>
      </c>
      <c r="AB183" s="186"/>
      <c r="AC183" s="218"/>
      <c r="AD183" s="187" t="str">
        <f>IFERROR(VLOOKUP(AC183,'Training Matrix'!B$4:C$24,2,0),"")</f>
        <v/>
      </c>
      <c r="AE183" s="218"/>
      <c r="AF183" s="188" t="str">
        <f t="shared" si="181"/>
        <v/>
      </c>
      <c r="AG183" s="189" t="str">
        <f t="shared" ca="1" si="182"/>
        <v/>
      </c>
      <c r="AH183" s="50" t="str">
        <f t="shared" ref="AH183" si="244">IF(OR(AC183="",AE183=""),"",CONCATENATE(AC183,"_",K166,"_",L166))</f>
        <v/>
      </c>
    </row>
    <row r="184" spans="1:34" ht="30" x14ac:dyDescent="0.25">
      <c r="A184" s="5" t="str">
        <f>IF(LEFT(F184,15)='SOP template'!$B$1,1,"")</f>
        <v/>
      </c>
      <c r="B184" s="179" t="str">
        <f t="shared" ref="B184" si="245">IF(ISBLANK($K184),CONCATENATE($B$2,".",TEXT(J184,"000"),".",$E184),CONCATENATE(RIGHT($K184,7),".1"))</f>
        <v>SOP.011.1</v>
      </c>
      <c r="C184" s="179" t="str">
        <f>IF(ISBLANK($K184),CONCATENATE(LEFT($B94,8),IF($E184=1,1.1,IF($E184=2,1.4,IF($E184=3,2,IF($E184=4,2.4,IF($E184=5,3,IF($E184=6,3.4,IF($E184=7,4,IF($E184=8,4.4,IF($E184=9,5,IF($E184=10,5.4,IF($E184=11,6,IF($E184=12,6.4,""))))))))))))),CONCATENATE(RIGHT($K184,7),".1"))</f>
        <v>SOP.011.1</v>
      </c>
      <c r="D184" s="179" t="str">
        <f>IF(ISBLANK($K184),CONCATENATE(LEFT($B94,8),IF($E184=1,1,IF($E184=2,1.3,IF($E184=3,1.5,IF($E184=4,2,IF($E184=5,2.3,IF($E184=6,2.5,IF($E184=7,3,IF($E184=8,3.3,IF($E184=9,3.5,IF($E184=10,4,IF($E184=11,4.3,IF($E184=12,4.5,""))))))))))))),CONCATENATE(RIGHT($K184,7),".1"))</f>
        <v>SOP.011.1</v>
      </c>
      <c r="E184" s="179">
        <f t="shared" si="173"/>
        <v>1</v>
      </c>
      <c r="F184" s="179" t="str">
        <f t="shared" ref="F184" si="246">K184&amp;"."&amp;TEXT(E184,"00")</f>
        <v>ALP.BSP.SOP.011.01</v>
      </c>
      <c r="G184" s="179" t="str">
        <f>IF(ISBLANK(N184),"",CONCATENATE(LEFT(F184,15),".",INDEX(Ref!A:A,MATCH(N184,Ref!$K$1:$K$333,0))))</f>
        <v>ALP.BSP.SOP.011.2</v>
      </c>
      <c r="H184" s="217" t="s">
        <v>394</v>
      </c>
      <c r="I184" s="217" t="s">
        <v>275</v>
      </c>
      <c r="J184" s="180">
        <v>11</v>
      </c>
      <c r="K184" s="181" t="str">
        <f>IFERROR(CONCATENATE(INDEX(Ref!$Z$2:$Z$8,MATCH(H184,Ref!$AA$2:$AA$8,0)),".",I184,".SOP.",TEXT(J184,"000")),CONCATENATE(H184,".",I184,".SOP.",TEXT(J184,"000")))</f>
        <v>ALP.BSP.SOP.011</v>
      </c>
      <c r="L184" s="191" t="s">
        <v>959</v>
      </c>
      <c r="M184" s="182" t="s">
        <v>960</v>
      </c>
      <c r="N184" s="183" t="s">
        <v>94</v>
      </c>
      <c r="O184" s="182" t="s">
        <v>961</v>
      </c>
      <c r="P184" s="182" t="s">
        <v>962</v>
      </c>
      <c r="Q184" s="184" t="s">
        <v>89</v>
      </c>
      <c r="R184" s="184" t="s">
        <v>91</v>
      </c>
      <c r="S184" s="185" t="str">
        <f>IFERROR(CLEAN(INDEX('Risk Matrix'!$H$7:$L$11,MATCH($Q184,'Risk Matrix'!$F$7:$F$11,0),MATCH($R184,'Risk Matrix'!$H$6:$L$6,0))),"")</f>
        <v>Low 1</v>
      </c>
      <c r="T184" s="85" t="str">
        <f>IF(LEFT($B184,7)=RIGHT('SOP template'!$B$1,7),_xlfn.NUMBERVALUE(RIGHT($S184,2)),"")</f>
        <v/>
      </c>
      <c r="U184" s="182" t="s">
        <v>710</v>
      </c>
      <c r="V184" s="182" t="s">
        <v>711</v>
      </c>
      <c r="W184" s="182" t="s">
        <v>712</v>
      </c>
      <c r="X184" s="182" t="s">
        <v>713</v>
      </c>
      <c r="Y184" s="182" t="s">
        <v>714</v>
      </c>
      <c r="Z184" s="182" t="s">
        <v>715</v>
      </c>
      <c r="AA184" s="186">
        <f>IFERROR(VLOOKUP(IFERROR(LEFT(S184,4),""),Ref!$AF$2:$AG$5,2,0),"")</f>
        <v>36</v>
      </c>
      <c r="AB184" s="186">
        <f>MIN($AA$184:$AA$201)</f>
        <v>24</v>
      </c>
      <c r="AC184" s="218" t="s">
        <v>289</v>
      </c>
      <c r="AD184" s="187" t="str">
        <f>IFERROR(VLOOKUP(AC184,'Training Matrix'!B$4:C$24,2,0),"")</f>
        <v>Dock Manager</v>
      </c>
      <c r="AE184" s="221">
        <v>45792</v>
      </c>
      <c r="AF184" s="188">
        <f t="shared" si="181"/>
        <v>46522</v>
      </c>
      <c r="AG184" s="189" t="str">
        <f t="shared" ca="1" si="182"/>
        <v>Current</v>
      </c>
      <c r="AH184" s="50" t="str">
        <f t="shared" ref="AH184" si="247">IF(OR(AC184="",AE184=""),"",CONCATENATE(AC184,"_",K184,"_",L184))</f>
        <v>Person 1_ALP.BSP.SOP.011_Trolley / Dolley and pneumatic trolley use</v>
      </c>
    </row>
    <row r="185" spans="1:34" ht="45" x14ac:dyDescent="0.25">
      <c r="A185" s="5" t="str">
        <f>IF(LEFT(F185,15)='SOP template'!$B$1,1,"")</f>
        <v/>
      </c>
      <c r="B185" s="190" t="str">
        <f t="shared" ref="B185" si="248">CONCATENATE(LEFT(B184,8),E185)</f>
        <v>SOP.011.2</v>
      </c>
      <c r="C185" s="190" t="str">
        <f>IF(ISBLANK($K185),CONCATENATE(LEFT($B184,8),IF($E185=1,1.1,IF($E185=2,1.4,IF($E185=3,2,IF($E185=4,2.4,IF($E185=5,3,IF($E185=6,3.4,IF($E185=7,4,IF($E185=8,4.4,IF($E185=9,5,IF($E185=10,5.4,IF($E185=11,6,IF($E185=12,6.4,""))))))))))))),CONCATENATE(RIGHT($K185,7),".1"))</f>
        <v>SOP.011.1.4</v>
      </c>
      <c r="D185" s="190" t="str">
        <f>IF(ISBLANK($K185),CONCATENATE(LEFT($B184,8),IF($E185=1,1,IF($E185=2,1.3,IF($E185=3,1.5,IF($E185=4,2,IF($E185=5,2.3,IF($E185=6,2.5,IF($E185=7,3,IF($E185=8,3.3,IF($E185=9,3.5,IF($E185=10,4,IF($E185=11,4.3,IF($E185=12,4.5,""))))))))))))),CONCATENATE(RIGHT($K185,7),".1"))</f>
        <v>SOP.011.1.3</v>
      </c>
      <c r="E185" s="190">
        <f t="shared" si="173"/>
        <v>2</v>
      </c>
      <c r="F185" s="190" t="str">
        <f t="shared" ref="F185" si="249">IF(K185=0,LEFT(F184,16)&amp;TEXT(E185,"00"),K185&amp;"."&amp;TEXT(E185,"00"))</f>
        <v>ALP.BSP.SOP.011.02</v>
      </c>
      <c r="G185" s="190" t="str">
        <f>IF(ISBLANK(N185),"",CONCATENATE(LEFT(F185,15),".",INDEX(Ref!A:A,MATCH(N185,Ref!$K$1:$K$333,0))))</f>
        <v>ALP.BSP.SOP.011.7</v>
      </c>
      <c r="H185" s="180"/>
      <c r="I185" s="217"/>
      <c r="J185" s="180"/>
      <c r="K185" s="181"/>
      <c r="L185" s="182"/>
      <c r="M185" s="182"/>
      <c r="N185" s="183" t="s">
        <v>88</v>
      </c>
      <c r="O185" s="182" t="s">
        <v>498</v>
      </c>
      <c r="P185" s="182" t="s">
        <v>499</v>
      </c>
      <c r="Q185" s="184" t="s">
        <v>92</v>
      </c>
      <c r="R185" s="184" t="s">
        <v>91</v>
      </c>
      <c r="S185" s="185" t="str">
        <f>IFERROR(CLEAN(INDEX('Risk Matrix'!$H$7:$L$11,MATCH($Q185,'Risk Matrix'!$F$7:$F$11,0),MATCH($R185,'Risk Matrix'!$H$6:$L$6,0))),"")</f>
        <v>Medium 2</v>
      </c>
      <c r="T185" s="85" t="str">
        <f>IF(LEFT($B185,7)=RIGHT('SOP template'!$B$1,7),_xlfn.NUMBERVALUE(RIGHT($S185,2)),"")</f>
        <v/>
      </c>
      <c r="U185" s="182" t="s">
        <v>494</v>
      </c>
      <c r="V185" s="182" t="s">
        <v>716</v>
      </c>
      <c r="W185" s="182" t="s">
        <v>717</v>
      </c>
      <c r="X185" s="182" t="s">
        <v>718</v>
      </c>
      <c r="Y185" s="182" t="s">
        <v>719</v>
      </c>
      <c r="Z185" s="182"/>
      <c r="AA185" s="186">
        <f>IFERROR(VLOOKUP(IFERROR(LEFT(S185,4),""),Ref!$AF$2:$AG$5,2,0),"")</f>
        <v>24</v>
      </c>
      <c r="AB185" s="186"/>
      <c r="AC185" s="218" t="s">
        <v>290</v>
      </c>
      <c r="AD185" s="187" t="str">
        <f>IFERROR(VLOOKUP(AC185,'Training Matrix'!B$4:C$24,2,0),"")</f>
        <v>WHS Team member</v>
      </c>
      <c r="AE185" s="221">
        <v>45792</v>
      </c>
      <c r="AF185" s="188">
        <f t="shared" si="181"/>
        <v>46522</v>
      </c>
      <c r="AG185" s="189" t="str">
        <f t="shared" ca="1" si="182"/>
        <v>Current</v>
      </c>
      <c r="AH185" s="50" t="str">
        <f t="shared" ref="AH185" si="250">IF(OR(AC185="",AE185=""),"",CONCATENATE(AC185,"_",K184,"_",L184))</f>
        <v>Person 2_ALP.BSP.SOP.011_Trolley / Dolley and pneumatic trolley use</v>
      </c>
    </row>
    <row r="186" spans="1:34" ht="30" x14ac:dyDescent="0.25">
      <c r="A186" s="5" t="str">
        <f>IF(LEFT(F186,15)='SOP template'!$B$1,1,"")</f>
        <v/>
      </c>
      <c r="B186" s="190" t="str">
        <f t="shared" si="176"/>
        <v>SOP.011.3</v>
      </c>
      <c r="C186" s="190" t="str">
        <f t="shared" ref="C186:C201" si="251">IF(ISBLANK($K186),CONCATENATE(LEFT($B185,8),IF($E186=1,1.1,IF($E186=2,1.4,IF($E186=3,2,IF($E186=4,2.4,IF($E186=5,3,IF($E186=6,3.4,IF($E186=7,4,IF($E186=8,4.4,IF($E186=9,5,IF($E186=10,5.4,IF($E186=11,6,IF($E186=12,6.4,""))))))))))))),CONCATENATE(RIGHT($K186,7),".1"))</f>
        <v>SOP.011.2</v>
      </c>
      <c r="D186" s="190" t="str">
        <f t="shared" ref="D186:D201" si="252">IF(ISBLANK($K186),CONCATENATE(LEFT($B185,8),IF($E186=1,1,IF($E186=2,1.3,IF($E186=3,1.5,IF($E186=4,2,IF($E186=5,2.3,IF($E186=6,2.5,IF($E186=7,3,IF($E186=8,3.3,IF($E186=9,3.5,IF($E186=10,4,IF($E186=11,4.3,IF($E186=12,4.5,""))))))))))))),CONCATENATE(RIGHT($K186,7),".1"))</f>
        <v>SOP.011.1.5</v>
      </c>
      <c r="E186" s="190">
        <f t="shared" si="173"/>
        <v>3</v>
      </c>
      <c r="F186" s="190" t="str">
        <f t="shared" si="177"/>
        <v>ALP.BSP.SOP.011.03</v>
      </c>
      <c r="G186" s="190" t="str">
        <f>IF(ISBLANK(N186),"",CONCATENATE(LEFT(F186,15),".",INDEX(Ref!A:A,MATCH(N186,Ref!$K$1:$K$333,0))))</f>
        <v>ALP.BSP.SOP.011.11</v>
      </c>
      <c r="H186" s="180"/>
      <c r="I186" s="217"/>
      <c r="J186" s="180"/>
      <c r="K186" s="181"/>
      <c r="L186" s="182"/>
      <c r="M186" s="182"/>
      <c r="N186" s="183" t="s">
        <v>95</v>
      </c>
      <c r="O186" s="182" t="s">
        <v>548</v>
      </c>
      <c r="P186" s="182" t="s">
        <v>549</v>
      </c>
      <c r="Q186" s="184" t="s">
        <v>89</v>
      </c>
      <c r="R186" s="184" t="s">
        <v>91</v>
      </c>
      <c r="S186" s="185" t="str">
        <f>IFERROR(CLEAN(INDEX('Risk Matrix'!$H$7:$L$11,MATCH($Q186,'Risk Matrix'!$F$7:$F$11,0),MATCH($R186,'Risk Matrix'!$H$6:$L$6,0))),"")</f>
        <v>Low 1</v>
      </c>
      <c r="T186" s="85" t="str">
        <f>IF(LEFT($B186,7)=RIGHT('SOP template'!$B$1,7),_xlfn.NUMBERVALUE(RIGHT($S186,2)),"")</f>
        <v/>
      </c>
      <c r="U186" s="182" t="s">
        <v>720</v>
      </c>
      <c r="V186" s="182" t="s">
        <v>721</v>
      </c>
      <c r="W186" s="182" t="s">
        <v>722</v>
      </c>
      <c r="X186" s="182" t="s">
        <v>723</v>
      </c>
      <c r="Y186" s="182" t="s">
        <v>724</v>
      </c>
      <c r="Z186" s="182"/>
      <c r="AA186" s="186">
        <f>IFERROR(VLOOKUP(IFERROR(LEFT(S186,4),""),Ref!$AF$2:$AG$5,2,0),"")</f>
        <v>36</v>
      </c>
      <c r="AB186" s="186"/>
      <c r="AC186" s="218" t="s">
        <v>167</v>
      </c>
      <c r="AD186" s="187" t="str">
        <f>IFERROR(VLOOKUP(AC186,'Training Matrix'!B$4:C$24,2,0),"")</f>
        <v>Bioscience Manager</v>
      </c>
      <c r="AE186" s="221">
        <v>45792</v>
      </c>
      <c r="AF186" s="188">
        <f t="shared" si="181"/>
        <v>46522</v>
      </c>
      <c r="AG186" s="189" t="str">
        <f t="shared" ca="1" si="182"/>
        <v>Current</v>
      </c>
      <c r="AH186" s="50" t="str">
        <f t="shared" ref="AH186" si="253">IF(OR(AC186="",AE186=""),"",CONCATENATE(AC186,"_",K184,"_",L184))</f>
        <v>Person 3_ALP.BSP.SOP.011_Trolley / Dolley and pneumatic trolley use</v>
      </c>
    </row>
    <row r="187" spans="1:34" ht="75" x14ac:dyDescent="0.25">
      <c r="A187" s="5" t="str">
        <f>IF(LEFT(F187,15)='SOP template'!$B$1,1,"")</f>
        <v/>
      </c>
      <c r="B187" s="190" t="str">
        <f t="shared" si="176"/>
        <v>SOP.011.4</v>
      </c>
      <c r="C187" s="190" t="str">
        <f t="shared" si="251"/>
        <v>SOP.011.2.4</v>
      </c>
      <c r="D187" s="190" t="str">
        <f t="shared" si="252"/>
        <v>SOP.011.2</v>
      </c>
      <c r="E187" s="190">
        <f t="shared" si="173"/>
        <v>4</v>
      </c>
      <c r="F187" s="190" t="str">
        <f t="shared" si="177"/>
        <v>ALP.BSP.SOP.011.04</v>
      </c>
      <c r="G187" s="190" t="str">
        <f>IF(ISBLANK(N187),"",CONCATENATE(LEFT(F187,15),".",INDEX(Ref!A:A,MATCH(N187,Ref!$K$1:$K$333,0))))</f>
        <v>ALP.BSP.SOP.011.14</v>
      </c>
      <c r="H187" s="180"/>
      <c r="I187" s="217"/>
      <c r="J187" s="180"/>
      <c r="K187" s="181"/>
      <c r="L187" s="182"/>
      <c r="M187" s="182"/>
      <c r="N187" s="183" t="s">
        <v>127</v>
      </c>
      <c r="O187" s="182" t="s">
        <v>411</v>
      </c>
      <c r="P187" s="182" t="s">
        <v>963</v>
      </c>
      <c r="Q187" s="184" t="s">
        <v>92</v>
      </c>
      <c r="R187" s="184" t="s">
        <v>91</v>
      </c>
      <c r="S187" s="185" t="str">
        <f>IFERROR(CLEAN(INDEX('Risk Matrix'!$H$7:$L$11,MATCH($Q187,'Risk Matrix'!$F$7:$F$11,0),MATCH($R187,'Risk Matrix'!$H$6:$L$6,0))),"")</f>
        <v>Medium 2</v>
      </c>
      <c r="T187" s="85" t="str">
        <f>IF(LEFT($B187,7)=RIGHT('SOP template'!$B$1,7),_xlfn.NUMBERVALUE(RIGHT($S187,2)),"")</f>
        <v/>
      </c>
      <c r="U187" s="182" t="s">
        <v>725</v>
      </c>
      <c r="V187" s="182" t="s">
        <v>726</v>
      </c>
      <c r="W187" s="182" t="s">
        <v>727</v>
      </c>
      <c r="X187" s="182" t="s">
        <v>728</v>
      </c>
      <c r="Y187" s="182" t="s">
        <v>729</v>
      </c>
      <c r="Z187" s="182"/>
      <c r="AA187" s="186">
        <f>IFERROR(VLOOKUP(IFERROR(LEFT(S187,4),""),Ref!$AF$2:$AG$5,2,0),"")</f>
        <v>24</v>
      </c>
      <c r="AB187" s="186"/>
      <c r="AC187" s="218" t="s">
        <v>168</v>
      </c>
      <c r="AD187" s="187" t="str">
        <f>IFERROR(VLOOKUP(AC187,'Training Matrix'!B$4:C$24,2,0),"")</f>
        <v>Collection Manager</v>
      </c>
      <c r="AE187" s="221">
        <v>45792</v>
      </c>
      <c r="AF187" s="188">
        <f t="shared" si="181"/>
        <v>46522</v>
      </c>
      <c r="AG187" s="189" t="str">
        <f t="shared" ca="1" si="182"/>
        <v>Current</v>
      </c>
      <c r="AH187" s="50" t="str">
        <f t="shared" ref="AH187" si="254">IF(OR(AC187="",AE187=""),"",CONCATENATE(AC187,"_",K184,"_",L184))</f>
        <v>Person 4_ALP.BSP.SOP.011_Trolley / Dolley and pneumatic trolley use</v>
      </c>
    </row>
    <row r="188" spans="1:34" x14ac:dyDescent="0.25">
      <c r="A188" s="5" t="str">
        <f>IF(LEFT(F188,15)='SOP template'!$B$1,1,"")</f>
        <v/>
      </c>
      <c r="B188" s="190" t="str">
        <f t="shared" si="176"/>
        <v>SOP.011.5</v>
      </c>
      <c r="C188" s="190" t="str">
        <f t="shared" si="251"/>
        <v>SOP.011.3</v>
      </c>
      <c r="D188" s="190" t="str">
        <f t="shared" si="252"/>
        <v>SOP.011.2.3</v>
      </c>
      <c r="E188" s="190">
        <f t="shared" si="173"/>
        <v>5</v>
      </c>
      <c r="F188" s="190" t="str">
        <f t="shared" si="177"/>
        <v>ALP.BSP.SOP.011.05</v>
      </c>
      <c r="G188" s="190" t="str">
        <f>IF(ISBLANK(N188),"",CONCATENATE(LEFT(F188,15),".",INDEX(Ref!A:A,MATCH(N188,Ref!$K$1:$K$333,0))))</f>
        <v>ALP.BSP.SOP.011.17</v>
      </c>
      <c r="H188" s="180"/>
      <c r="I188" s="217"/>
      <c r="J188" s="180"/>
      <c r="K188" s="181"/>
      <c r="L188" s="182"/>
      <c r="M188" s="182"/>
      <c r="N188" s="183" t="s">
        <v>130</v>
      </c>
      <c r="O188" s="182"/>
      <c r="P188" s="182"/>
      <c r="Q188" s="184"/>
      <c r="R188" s="184"/>
      <c r="S188" s="185" t="str">
        <f>IFERROR(CLEAN(INDEX('Risk Matrix'!$H$7:$L$11,MATCH($Q188,'Risk Matrix'!$F$7:$F$11,0),MATCH($R188,'Risk Matrix'!$H$6:$L$6,0))),"")</f>
        <v/>
      </c>
      <c r="T188" s="85" t="str">
        <f>IF(LEFT($B188,7)=RIGHT('SOP template'!$B$1,7),_xlfn.NUMBERVALUE(RIGHT($S188,2)),"")</f>
        <v/>
      </c>
      <c r="U188" s="182"/>
      <c r="V188" s="182"/>
      <c r="W188" s="182"/>
      <c r="X188" s="182" t="s">
        <v>730</v>
      </c>
      <c r="Y188" s="182" t="s">
        <v>731</v>
      </c>
      <c r="Z188" s="182"/>
      <c r="AA188" s="186" t="str">
        <f>IFERROR(VLOOKUP(IFERROR(LEFT(S188,4),""),Ref!$AF$2:$AG$5,2,0),"")</f>
        <v/>
      </c>
      <c r="AB188" s="186"/>
      <c r="AC188" s="218" t="s">
        <v>169</v>
      </c>
      <c r="AD188" s="187" t="str">
        <f>IFERROR(VLOOKUP(AC188,'Training Matrix'!B$4:C$24,2,0),"")</f>
        <v>Technician</v>
      </c>
      <c r="AE188" s="221">
        <v>45792</v>
      </c>
      <c r="AF188" s="188">
        <f t="shared" si="181"/>
        <v>46522</v>
      </c>
      <c r="AG188" s="189" t="str">
        <f t="shared" ca="1" si="182"/>
        <v>Current</v>
      </c>
      <c r="AH188" s="50" t="str">
        <f t="shared" ref="AH188" si="255">IF(OR(AC188="",AE188=""),"",CONCATENATE(AC188,"_",K184,"_",L184))</f>
        <v>Person 5_ALP.BSP.SOP.011_Trolley / Dolley and pneumatic trolley use</v>
      </c>
    </row>
    <row r="189" spans="1:34" x14ac:dyDescent="0.25">
      <c r="A189" s="5" t="str">
        <f>IF(LEFT(F189,15)='SOP template'!$B$1,1,"")</f>
        <v/>
      </c>
      <c r="B189" s="190" t="str">
        <f t="shared" si="176"/>
        <v>SOP.011.6</v>
      </c>
      <c r="C189" s="190" t="str">
        <f t="shared" si="251"/>
        <v>SOP.011.3.4</v>
      </c>
      <c r="D189" s="190" t="str">
        <f t="shared" si="252"/>
        <v>SOP.011.2.5</v>
      </c>
      <c r="E189" s="190">
        <f t="shared" si="173"/>
        <v>6</v>
      </c>
      <c r="F189" s="190" t="str">
        <f t="shared" si="177"/>
        <v>ALP.BSP.SOP.011.06</v>
      </c>
      <c r="G189" s="190" t="str">
        <f>IF(ISBLANK(N189),"",CONCATENATE(LEFT(F189,15),".",INDEX(Ref!A:A,MATCH(N189,Ref!$K$1:$K$333,0))))</f>
        <v>ALP.BSP.SOP.011.20</v>
      </c>
      <c r="H189" s="180"/>
      <c r="I189" s="217"/>
      <c r="J189" s="180"/>
      <c r="K189" s="181"/>
      <c r="L189" s="182"/>
      <c r="M189" s="182"/>
      <c r="N189" s="183" t="s">
        <v>133</v>
      </c>
      <c r="O189" s="182"/>
      <c r="P189" s="182"/>
      <c r="Q189" s="184"/>
      <c r="R189" s="184"/>
      <c r="S189" s="185" t="str">
        <f>IFERROR(CLEAN(INDEX('Risk Matrix'!$H$7:$L$11,MATCH($Q189,'Risk Matrix'!$F$7:$F$11,0),MATCH($R189,'Risk Matrix'!$H$6:$L$6,0))),"")</f>
        <v/>
      </c>
      <c r="T189" s="85" t="str">
        <f>IF(LEFT($B189,7)=RIGHT('SOP template'!$B$1,7),_xlfn.NUMBERVALUE(RIGHT($S189,2)),"")</f>
        <v/>
      </c>
      <c r="U189" s="182"/>
      <c r="V189" s="182"/>
      <c r="W189" s="182"/>
      <c r="X189" s="182" t="s">
        <v>732</v>
      </c>
      <c r="Y189" s="182"/>
      <c r="Z189" s="182"/>
      <c r="AA189" s="186" t="str">
        <f>IFERROR(VLOOKUP(IFERROR(LEFT(S189,4),""),Ref!$AF$2:$AG$5,2,0),"")</f>
        <v/>
      </c>
      <c r="AB189" s="186"/>
      <c r="AC189" s="218" t="s">
        <v>170</v>
      </c>
      <c r="AD189" s="187" t="str">
        <f>IFERROR(VLOOKUP(AC189,'Training Matrix'!B$4:C$24,2,0),"")</f>
        <v>Scientist</v>
      </c>
      <c r="AE189" s="221">
        <v>45792</v>
      </c>
      <c r="AF189" s="188">
        <f t="shared" si="181"/>
        <v>46522</v>
      </c>
      <c r="AG189" s="189" t="str">
        <f t="shared" ca="1" si="182"/>
        <v>Current</v>
      </c>
      <c r="AH189" s="50" t="str">
        <f t="shared" ref="AH189" si="256">IF(OR(AC189="",AE189=""),"",CONCATENATE(AC189,"_",K184,"_",L184))</f>
        <v>Person 6_ALP.BSP.SOP.011_Trolley / Dolley and pneumatic trolley use</v>
      </c>
    </row>
    <row r="190" spans="1:34" ht="30" x14ac:dyDescent="0.25">
      <c r="A190" s="5" t="str">
        <f>IF(LEFT(F190,15)='SOP template'!$B$1,1,"")</f>
        <v/>
      </c>
      <c r="B190" s="190" t="str">
        <f t="shared" si="176"/>
        <v>SOP.011.7</v>
      </c>
      <c r="C190" s="190" t="str">
        <f t="shared" si="251"/>
        <v>SOP.011.4</v>
      </c>
      <c r="D190" s="190" t="str">
        <f t="shared" si="252"/>
        <v>SOP.011.3</v>
      </c>
      <c r="E190" s="190">
        <f t="shared" si="173"/>
        <v>7</v>
      </c>
      <c r="F190" s="190" t="str">
        <f t="shared" si="177"/>
        <v>ALP.BSP.SOP.011.07</v>
      </c>
      <c r="G190" s="190" t="str">
        <f>IF(ISBLANK(N190),"",CONCATENATE(LEFT(F190,15),".",INDEX(Ref!A:A,MATCH(N190,Ref!$K$1:$K$333,0))))</f>
        <v/>
      </c>
      <c r="H190" s="180"/>
      <c r="I190" s="217"/>
      <c r="J190" s="180"/>
      <c r="K190" s="181"/>
      <c r="L190" s="182"/>
      <c r="M190" s="182"/>
      <c r="N190" s="183"/>
      <c r="O190" s="182"/>
      <c r="P190" s="182"/>
      <c r="Q190" s="184"/>
      <c r="R190" s="184"/>
      <c r="S190" s="185" t="str">
        <f>IFERROR(CLEAN(INDEX('Risk Matrix'!$H$7:$L$11,MATCH($Q190,'Risk Matrix'!$F$7:$F$11,0),MATCH($R190,'Risk Matrix'!$H$6:$L$6,0))),"")</f>
        <v/>
      </c>
      <c r="T190" s="85" t="str">
        <f>IF(LEFT($B190,7)=RIGHT('SOP template'!$B$1,7),_xlfn.NUMBERVALUE(RIGHT($S190,2)),"")</f>
        <v/>
      </c>
      <c r="U190" s="182"/>
      <c r="V190" s="182"/>
      <c r="W190" s="182"/>
      <c r="X190" s="182" t="s">
        <v>733</v>
      </c>
      <c r="Y190" s="182"/>
      <c r="Z190" s="182"/>
      <c r="AA190" s="186" t="str">
        <f>IFERROR(VLOOKUP(IFERROR(LEFT(S190,4),""),Ref!$AF$2:$AG$5,2,0),"")</f>
        <v/>
      </c>
      <c r="AB190" s="186"/>
      <c r="AC190" s="218"/>
      <c r="AD190" s="187" t="str">
        <f>IFERROR(VLOOKUP(AC190,'Training Matrix'!B$4:C$24,2,0),"")</f>
        <v/>
      </c>
      <c r="AE190" s="221"/>
      <c r="AF190" s="188" t="str">
        <f t="shared" si="181"/>
        <v/>
      </c>
      <c r="AG190" s="189" t="str">
        <f t="shared" ca="1" si="182"/>
        <v/>
      </c>
      <c r="AH190" s="50" t="str">
        <f t="shared" ref="AH190" si="257">IF(OR(AC190="",AE190=""),"",CONCATENATE(AC190,"_",K184,"_",L184))</f>
        <v/>
      </c>
    </row>
    <row r="191" spans="1:34" x14ac:dyDescent="0.25">
      <c r="A191" s="5" t="str">
        <f>IF(LEFT(F191,15)='SOP template'!$B$1,1,"")</f>
        <v/>
      </c>
      <c r="B191" s="190" t="str">
        <f t="shared" si="176"/>
        <v>SOP.011.8</v>
      </c>
      <c r="C191" s="190" t="str">
        <f t="shared" si="251"/>
        <v>SOP.011.4.4</v>
      </c>
      <c r="D191" s="190" t="str">
        <f t="shared" si="252"/>
        <v>SOP.011.3.3</v>
      </c>
      <c r="E191" s="190">
        <f t="shared" si="173"/>
        <v>8</v>
      </c>
      <c r="F191" s="190" t="str">
        <f t="shared" si="177"/>
        <v>ALP.BSP.SOP.011.08</v>
      </c>
      <c r="G191" s="190" t="str">
        <f>IF(ISBLANK(N191),"",CONCATENATE(LEFT(F191,15),".",INDEX(Ref!A:A,MATCH(N191,Ref!$K$1:$K$333,0))))</f>
        <v/>
      </c>
      <c r="H191" s="180"/>
      <c r="I191" s="217"/>
      <c r="J191" s="180"/>
      <c r="K191" s="181"/>
      <c r="L191" s="182"/>
      <c r="M191" s="182"/>
      <c r="N191" s="183"/>
      <c r="O191" s="182"/>
      <c r="P191" s="182"/>
      <c r="Q191" s="184"/>
      <c r="R191" s="184"/>
      <c r="S191" s="185" t="str">
        <f>IFERROR(CLEAN(INDEX('Risk Matrix'!$H$7:$L$11,MATCH($Q191,'Risk Matrix'!$F$7:$F$11,0),MATCH($R191,'Risk Matrix'!$H$6:$L$6,0))),"")</f>
        <v/>
      </c>
      <c r="T191" s="85" t="str">
        <f>IF(LEFT($B191,7)=RIGHT('SOP template'!$B$1,7),_xlfn.NUMBERVALUE(RIGHT($S191,2)),"")</f>
        <v/>
      </c>
      <c r="U191" s="182"/>
      <c r="V191" s="182"/>
      <c r="W191" s="182"/>
      <c r="X191" s="182" t="s">
        <v>734</v>
      </c>
      <c r="Y191" s="182"/>
      <c r="Z191" s="182"/>
      <c r="AA191" s="186" t="str">
        <f>IFERROR(VLOOKUP(IFERROR(LEFT(S191,4),""),Ref!$AF$2:$AG$5,2,0),"")</f>
        <v/>
      </c>
      <c r="AB191" s="186"/>
      <c r="AC191" s="218"/>
      <c r="AD191" s="187" t="str">
        <f>IFERROR(VLOOKUP(AC191,'Training Matrix'!B$4:C$24,2,0),"")</f>
        <v/>
      </c>
      <c r="AE191" s="221"/>
      <c r="AF191" s="188" t="str">
        <f t="shared" si="181"/>
        <v/>
      </c>
      <c r="AG191" s="189" t="str">
        <f t="shared" ca="1" si="182"/>
        <v/>
      </c>
      <c r="AH191" s="50" t="str">
        <f t="shared" ref="AH191" si="258">IF(OR(AC191="",AE191=""),"",CONCATENATE(AC191,"_",K184,"_",L184))</f>
        <v/>
      </c>
    </row>
    <row r="192" spans="1:34" ht="30" x14ac:dyDescent="0.25">
      <c r="A192" s="5" t="str">
        <f>IF(LEFT(F192,15)='SOP template'!$B$1,1,"")</f>
        <v/>
      </c>
      <c r="B192" s="190" t="str">
        <f t="shared" si="176"/>
        <v>SOP.011.9</v>
      </c>
      <c r="C192" s="190" t="str">
        <f t="shared" si="251"/>
        <v>SOP.011.5</v>
      </c>
      <c r="D192" s="190" t="str">
        <f t="shared" si="252"/>
        <v>SOP.011.3.5</v>
      </c>
      <c r="E192" s="190">
        <f t="shared" si="173"/>
        <v>9</v>
      </c>
      <c r="F192" s="190" t="str">
        <f t="shared" si="177"/>
        <v>ALP.BSP.SOP.011.09</v>
      </c>
      <c r="G192" s="190" t="str">
        <f>IF(ISBLANK(N192),"",CONCATENATE(LEFT(F192,15),".",INDEX(Ref!A:A,MATCH(N192,Ref!$K$1:$K$333,0))))</f>
        <v/>
      </c>
      <c r="H192" s="180"/>
      <c r="I192" s="217"/>
      <c r="J192" s="180"/>
      <c r="K192" s="181"/>
      <c r="L192" s="182"/>
      <c r="M192" s="182"/>
      <c r="N192" s="183"/>
      <c r="O192" s="182"/>
      <c r="P192" s="182"/>
      <c r="Q192" s="184"/>
      <c r="R192" s="184"/>
      <c r="S192" s="185" t="str">
        <f>IFERROR(CLEAN(INDEX('Risk Matrix'!$H$7:$L$11,MATCH($Q192,'Risk Matrix'!$F$7:$F$11,0),MATCH($R192,'Risk Matrix'!$H$6:$L$6,0))),"")</f>
        <v/>
      </c>
      <c r="T192" s="85" t="str">
        <f>IF(LEFT($B192,7)=RIGHT('SOP template'!$B$1,7),_xlfn.NUMBERVALUE(RIGHT($S192,2)),"")</f>
        <v/>
      </c>
      <c r="U192" s="182"/>
      <c r="V192" s="182"/>
      <c r="W192" s="182"/>
      <c r="X192" s="182" t="s">
        <v>735</v>
      </c>
      <c r="Y192" s="182"/>
      <c r="Z192" s="182"/>
      <c r="AA192" s="186" t="str">
        <f>IFERROR(VLOOKUP(IFERROR(LEFT(S192,4),""),Ref!$AF$2:$AG$5,2,0),"")</f>
        <v/>
      </c>
      <c r="AB192" s="186"/>
      <c r="AC192" s="218"/>
      <c r="AD192" s="187" t="str">
        <f>IFERROR(VLOOKUP(AC192,'Training Matrix'!B$4:C$24,2,0),"")</f>
        <v/>
      </c>
      <c r="AE192" s="221"/>
      <c r="AF192" s="188" t="str">
        <f t="shared" si="181"/>
        <v/>
      </c>
      <c r="AG192" s="189" t="str">
        <f t="shared" ca="1" si="182"/>
        <v/>
      </c>
      <c r="AH192" s="50" t="str">
        <f t="shared" ref="AH192" si="259">IF(OR(AC192="",AE192=""),"",CONCATENATE(AC192,"_",K184,"_",L184))</f>
        <v/>
      </c>
    </row>
    <row r="193" spans="1:34" x14ac:dyDescent="0.25">
      <c r="A193" s="5" t="str">
        <f>IF(LEFT(F193,15)='SOP template'!$B$1,1,"")</f>
        <v/>
      </c>
      <c r="B193" s="190" t="str">
        <f t="shared" si="176"/>
        <v>SOP.011.10</v>
      </c>
      <c r="C193" s="190" t="str">
        <f t="shared" si="251"/>
        <v>SOP.011.5.4</v>
      </c>
      <c r="D193" s="190" t="str">
        <f t="shared" si="252"/>
        <v>SOP.011.4</v>
      </c>
      <c r="E193" s="190">
        <f t="shared" si="173"/>
        <v>10</v>
      </c>
      <c r="F193" s="190" t="str">
        <f t="shared" si="177"/>
        <v>ALP.BSP.SOP.011.10</v>
      </c>
      <c r="G193" s="190" t="str">
        <f>IF(ISBLANK(N193),"",CONCATENATE(LEFT(F193,15),".",INDEX(Ref!A:A,MATCH(N193,Ref!$K$1:$K$333,0))))</f>
        <v/>
      </c>
      <c r="H193" s="180"/>
      <c r="I193" s="217"/>
      <c r="J193" s="180"/>
      <c r="K193" s="181"/>
      <c r="L193" s="182"/>
      <c r="M193" s="182"/>
      <c r="N193" s="183"/>
      <c r="O193" s="182"/>
      <c r="P193" s="182"/>
      <c r="Q193" s="184"/>
      <c r="R193" s="184"/>
      <c r="S193" s="185" t="str">
        <f>IFERROR(CLEAN(INDEX('Risk Matrix'!$H$7:$L$11,MATCH($Q193,'Risk Matrix'!$F$7:$F$11,0),MATCH($R193,'Risk Matrix'!$H$6:$L$6,0))),"")</f>
        <v/>
      </c>
      <c r="T193" s="85" t="str">
        <f>IF(LEFT($B193,7)=RIGHT('SOP template'!$B$1,7),_xlfn.NUMBERVALUE(RIGHT($S193,2)),"")</f>
        <v/>
      </c>
      <c r="U193" s="182"/>
      <c r="V193" s="182"/>
      <c r="W193" s="182"/>
      <c r="X193" s="182"/>
      <c r="Y193" s="182"/>
      <c r="Z193" s="182"/>
      <c r="AA193" s="186" t="str">
        <f>IFERROR(VLOOKUP(IFERROR(LEFT(S193,4),""),Ref!$AF$2:$AG$5,2,0),"")</f>
        <v/>
      </c>
      <c r="AB193" s="186"/>
      <c r="AC193" s="218"/>
      <c r="AD193" s="187" t="str">
        <f>IFERROR(VLOOKUP(AC193,'Training Matrix'!B$4:C$24,2,0),"")</f>
        <v/>
      </c>
      <c r="AE193" s="221"/>
      <c r="AF193" s="188" t="str">
        <f t="shared" si="181"/>
        <v/>
      </c>
      <c r="AG193" s="189" t="str">
        <f t="shared" ca="1" si="182"/>
        <v/>
      </c>
      <c r="AH193" s="50" t="str">
        <f t="shared" ref="AH193" si="260">IF(OR(AC193="",AE193=""),"",CONCATENATE(AC193,"_",K184,"_",L184))</f>
        <v/>
      </c>
    </row>
    <row r="194" spans="1:34" x14ac:dyDescent="0.25">
      <c r="A194" s="5" t="str">
        <f>IF(LEFT(F194,15)='SOP template'!$B$1,1,"")</f>
        <v/>
      </c>
      <c r="B194" s="190" t="str">
        <f t="shared" ref="B194:B201" si="261">CONCATENATE(LEFT(B193,8),E194)</f>
        <v>SOP.011.11</v>
      </c>
      <c r="C194" s="190" t="str">
        <f t="shared" si="251"/>
        <v>SOP.011.6</v>
      </c>
      <c r="D194" s="190" t="str">
        <f t="shared" si="252"/>
        <v>SOP.011.4.3</v>
      </c>
      <c r="E194" s="190">
        <f t="shared" si="173"/>
        <v>11</v>
      </c>
      <c r="F194" s="190" t="str">
        <f t="shared" ref="F194:F201" si="262">IF(K194=0,LEFT(F193,16)&amp;TEXT(E194,"00"),K194&amp;"."&amp;TEXT(E194,"00"))</f>
        <v>ALP.BSP.SOP.011.11</v>
      </c>
      <c r="G194" s="190" t="str">
        <f>IF(ISBLANK(N194),"",CONCATENATE(LEFT(F194,15),".",INDEX(Ref!A:A,MATCH(N194,Ref!$K$1:$K$333,0))))</f>
        <v/>
      </c>
      <c r="H194" s="180"/>
      <c r="I194" s="217"/>
      <c r="J194" s="180"/>
      <c r="K194" s="181"/>
      <c r="L194" s="182"/>
      <c r="M194" s="182"/>
      <c r="N194" s="183"/>
      <c r="O194" s="182"/>
      <c r="P194" s="182"/>
      <c r="Q194" s="184"/>
      <c r="R194" s="184"/>
      <c r="S194" s="185" t="str">
        <f>IFERROR(CLEAN(INDEX('Risk Matrix'!$H$7:$L$11,MATCH($Q194,'Risk Matrix'!$F$7:$F$11,0),MATCH($R194,'Risk Matrix'!$H$6:$L$6,0))),"")</f>
        <v/>
      </c>
      <c r="T194" s="85" t="str">
        <f>IF(LEFT($B194,7)=RIGHT('SOP template'!$B$1,7),_xlfn.NUMBERVALUE(RIGHT($S194,2)),"")</f>
        <v/>
      </c>
      <c r="U194" s="182"/>
      <c r="V194" s="182"/>
      <c r="W194" s="182"/>
      <c r="X194" s="182"/>
      <c r="Y194" s="182"/>
      <c r="Z194" s="182"/>
      <c r="AA194" s="186" t="str">
        <f>IFERROR(VLOOKUP(IFERROR(LEFT(S194,4),""),Ref!$AF$2:$AG$5,2,0),"")</f>
        <v/>
      </c>
      <c r="AB194" s="186"/>
      <c r="AC194" s="218"/>
      <c r="AD194" s="187" t="str">
        <f>IFERROR(VLOOKUP(AC194,'Training Matrix'!B$4:C$24,2,0),"")</f>
        <v/>
      </c>
      <c r="AE194" s="218"/>
      <c r="AF194" s="188" t="str">
        <f t="shared" si="181"/>
        <v/>
      </c>
      <c r="AG194" s="189" t="str">
        <f t="shared" ca="1" si="182"/>
        <v/>
      </c>
      <c r="AH194" s="50" t="str">
        <f t="shared" ref="AH194" si="263">IF(OR(AC194="",AE194=""),"",CONCATENATE(AC194,"_",K184,"_",L184))</f>
        <v/>
      </c>
    </row>
    <row r="195" spans="1:34" x14ac:dyDescent="0.25">
      <c r="A195" s="5" t="str">
        <f>IF(LEFT(F195,15)='SOP template'!$B$1,1,"")</f>
        <v/>
      </c>
      <c r="B195" s="190" t="str">
        <f t="shared" si="261"/>
        <v>SOP.011.12</v>
      </c>
      <c r="C195" s="190" t="str">
        <f t="shared" si="251"/>
        <v>SOP.011.6.4</v>
      </c>
      <c r="D195" s="190" t="str">
        <f t="shared" si="252"/>
        <v>SOP.011.4.5</v>
      </c>
      <c r="E195" s="190">
        <f t="shared" si="173"/>
        <v>12</v>
      </c>
      <c r="F195" s="190" t="str">
        <f t="shared" si="262"/>
        <v>ALP.BSP.SOP.011.12</v>
      </c>
      <c r="G195" s="190" t="str">
        <f>IF(ISBLANK(N195),"",CONCATENATE(LEFT(F195,15),".",INDEX(Ref!A:A,MATCH(N195,Ref!$K$1:$K$333,0))))</f>
        <v/>
      </c>
      <c r="H195" s="180"/>
      <c r="I195" s="217"/>
      <c r="J195" s="180"/>
      <c r="K195" s="181"/>
      <c r="L195" s="182"/>
      <c r="M195" s="182"/>
      <c r="N195" s="183"/>
      <c r="O195" s="182"/>
      <c r="P195" s="182"/>
      <c r="Q195" s="184"/>
      <c r="R195" s="184"/>
      <c r="S195" s="185" t="str">
        <f>IFERROR(CLEAN(INDEX('Risk Matrix'!$H$7:$L$11,MATCH($Q195,'Risk Matrix'!$F$7:$F$11,0),MATCH($R195,'Risk Matrix'!$H$6:$L$6,0))),"")</f>
        <v/>
      </c>
      <c r="T195" s="85" t="str">
        <f>IF(LEFT($B195,7)=RIGHT('SOP template'!$B$1,7),_xlfn.NUMBERVALUE(RIGHT($S195,2)),"")</f>
        <v/>
      </c>
      <c r="U195" s="182"/>
      <c r="V195" s="182"/>
      <c r="W195" s="182"/>
      <c r="X195" s="182"/>
      <c r="Y195" s="182"/>
      <c r="Z195" s="182"/>
      <c r="AA195" s="186" t="str">
        <f>IFERROR(VLOOKUP(IFERROR(LEFT(S195,4),""),Ref!$AF$2:$AG$5,2,0),"")</f>
        <v/>
      </c>
      <c r="AB195" s="186"/>
      <c r="AC195" s="218"/>
      <c r="AD195" s="187" t="str">
        <f>IFERROR(VLOOKUP(AC195,'Training Matrix'!B$4:C$24,2,0),"")</f>
        <v/>
      </c>
      <c r="AE195" s="218"/>
      <c r="AF195" s="188" t="str">
        <f t="shared" si="181"/>
        <v/>
      </c>
      <c r="AG195" s="189" t="str">
        <f t="shared" ca="1" si="182"/>
        <v/>
      </c>
      <c r="AH195" s="50" t="str">
        <f t="shared" ref="AH195" si="264">IF(OR(AC195="",AE195=""),"",CONCATENATE(AC195,"_",K184,"_",L184))</f>
        <v/>
      </c>
    </row>
    <row r="196" spans="1:34" x14ac:dyDescent="0.25">
      <c r="A196" s="5" t="str">
        <f>IF(LEFT(F196,15)='SOP template'!$B$1,1,"")</f>
        <v/>
      </c>
      <c r="B196" s="190" t="str">
        <f t="shared" si="261"/>
        <v>SOP.011.13</v>
      </c>
      <c r="C196" s="190" t="str">
        <f t="shared" si="251"/>
        <v>SOP.011.</v>
      </c>
      <c r="D196" s="190" t="str">
        <f t="shared" si="252"/>
        <v>SOP.011.</v>
      </c>
      <c r="E196" s="190">
        <f t="shared" si="173"/>
        <v>13</v>
      </c>
      <c r="F196" s="190" t="str">
        <f t="shared" si="262"/>
        <v>ALP.BSP.SOP.011.13</v>
      </c>
      <c r="G196" s="190" t="str">
        <f>IF(ISBLANK(N196),"",CONCATENATE(LEFT(F196,15),".",INDEX(Ref!A:A,MATCH(N196,Ref!$K$1:$K$333,0))))</f>
        <v/>
      </c>
      <c r="H196" s="180"/>
      <c r="I196" s="217"/>
      <c r="J196" s="180"/>
      <c r="K196" s="181"/>
      <c r="L196" s="182"/>
      <c r="M196" s="182"/>
      <c r="N196" s="183"/>
      <c r="O196" s="182"/>
      <c r="P196" s="182"/>
      <c r="Q196" s="184"/>
      <c r="R196" s="184"/>
      <c r="S196" s="185" t="str">
        <f>IFERROR(CLEAN(INDEX('Risk Matrix'!$H$7:$L$11,MATCH($Q196,'Risk Matrix'!$F$7:$F$11,0),MATCH($R196,'Risk Matrix'!$H$6:$L$6,0))),"")</f>
        <v/>
      </c>
      <c r="T196" s="85" t="str">
        <f>IF(LEFT($B196,7)=RIGHT('SOP template'!$B$1,7),_xlfn.NUMBERVALUE(RIGHT($S196,2)),"")</f>
        <v/>
      </c>
      <c r="U196" s="182"/>
      <c r="V196" s="182"/>
      <c r="W196" s="182"/>
      <c r="X196" s="182"/>
      <c r="Y196" s="182"/>
      <c r="Z196" s="182"/>
      <c r="AA196" s="186" t="str">
        <f>IFERROR(VLOOKUP(IFERROR(LEFT(S196,4),""),Ref!$AF$2:$AG$5,2,0),"")</f>
        <v/>
      </c>
      <c r="AB196" s="186"/>
      <c r="AC196" s="218"/>
      <c r="AD196" s="187" t="str">
        <f>IFERROR(VLOOKUP(AC196,'Training Matrix'!B$4:C$24,2,0),"")</f>
        <v/>
      </c>
      <c r="AE196" s="218"/>
      <c r="AF196" s="188" t="str">
        <f t="shared" si="181"/>
        <v/>
      </c>
      <c r="AG196" s="189" t="str">
        <f t="shared" ca="1" si="182"/>
        <v/>
      </c>
      <c r="AH196" s="50" t="str">
        <f t="shared" ref="AH196" si="265">IF(OR(AC196="",AE196=""),"",CONCATENATE(AC196,"_",K184,"_",L184))</f>
        <v/>
      </c>
    </row>
    <row r="197" spans="1:34" x14ac:dyDescent="0.25">
      <c r="A197" s="5" t="str">
        <f>IF(LEFT(F197,15)='SOP template'!$B$1,1,"")</f>
        <v/>
      </c>
      <c r="B197" s="190" t="str">
        <f t="shared" si="261"/>
        <v>SOP.011.14</v>
      </c>
      <c r="C197" s="190" t="str">
        <f t="shared" si="251"/>
        <v>SOP.011.</v>
      </c>
      <c r="D197" s="190" t="str">
        <f t="shared" si="252"/>
        <v>SOP.011.</v>
      </c>
      <c r="E197" s="190">
        <f t="shared" ref="E197:E260" si="266">IF(ISBLANK($K197),$E196+1,1)</f>
        <v>14</v>
      </c>
      <c r="F197" s="190" t="str">
        <f t="shared" si="262"/>
        <v>ALP.BSP.SOP.011.14</v>
      </c>
      <c r="G197" s="190" t="str">
        <f>IF(ISBLANK(N197),"",CONCATENATE(LEFT(F197,15),".",INDEX(Ref!A:A,MATCH(N197,Ref!$K$1:$K$333,0))))</f>
        <v/>
      </c>
      <c r="H197" s="180"/>
      <c r="I197" s="217"/>
      <c r="J197" s="180"/>
      <c r="K197" s="181"/>
      <c r="L197" s="182"/>
      <c r="M197" s="182"/>
      <c r="N197" s="183"/>
      <c r="O197" s="182"/>
      <c r="P197" s="182"/>
      <c r="Q197" s="184"/>
      <c r="R197" s="184"/>
      <c r="S197" s="185" t="str">
        <f>IFERROR(CLEAN(INDEX('Risk Matrix'!$H$7:$L$11,MATCH($Q197,'Risk Matrix'!$F$7:$F$11,0),MATCH($R197,'Risk Matrix'!$H$6:$L$6,0))),"")</f>
        <v/>
      </c>
      <c r="T197" s="85" t="str">
        <f>IF(LEFT($B197,7)=RIGHT('SOP template'!$B$1,7),_xlfn.NUMBERVALUE(RIGHT($S197,2)),"")</f>
        <v/>
      </c>
      <c r="U197" s="182"/>
      <c r="V197" s="182"/>
      <c r="W197" s="182"/>
      <c r="X197" s="182"/>
      <c r="Y197" s="182"/>
      <c r="Z197" s="182"/>
      <c r="AA197" s="186" t="str">
        <f>IFERROR(VLOOKUP(IFERROR(LEFT(S197,4),""),Ref!$AF$2:$AG$5,2,0),"")</f>
        <v/>
      </c>
      <c r="AB197" s="186"/>
      <c r="AC197" s="218"/>
      <c r="AD197" s="187" t="str">
        <f>IFERROR(VLOOKUP(AC197,'Training Matrix'!B$4:C$24,2,0),"")</f>
        <v/>
      </c>
      <c r="AE197" s="218"/>
      <c r="AF197" s="188" t="str">
        <f t="shared" si="181"/>
        <v/>
      </c>
      <c r="AG197" s="189" t="str">
        <f t="shared" ca="1" si="182"/>
        <v/>
      </c>
      <c r="AH197" s="50" t="str">
        <f t="shared" ref="AH197" si="267">IF(OR(AC197="",AE197=""),"",CONCATENATE(AC197,"_",K184,"_",L184))</f>
        <v/>
      </c>
    </row>
    <row r="198" spans="1:34" x14ac:dyDescent="0.25">
      <c r="A198" s="5" t="str">
        <f>IF(LEFT(F198,15)='SOP template'!$B$1,1,"")</f>
        <v/>
      </c>
      <c r="B198" s="190" t="str">
        <f t="shared" si="261"/>
        <v>SOP.011.15</v>
      </c>
      <c r="C198" s="190" t="str">
        <f t="shared" si="251"/>
        <v>SOP.011.</v>
      </c>
      <c r="D198" s="190" t="str">
        <f t="shared" si="252"/>
        <v>SOP.011.</v>
      </c>
      <c r="E198" s="190">
        <f t="shared" si="266"/>
        <v>15</v>
      </c>
      <c r="F198" s="190" t="str">
        <f t="shared" si="262"/>
        <v>ALP.BSP.SOP.011.15</v>
      </c>
      <c r="G198" s="190" t="str">
        <f>IF(ISBLANK(N198),"",CONCATENATE(LEFT(F198,15),".",INDEX(Ref!A:A,MATCH(N198,Ref!$K$1:$K$333,0))))</f>
        <v/>
      </c>
      <c r="H198" s="180"/>
      <c r="I198" s="217"/>
      <c r="J198" s="180"/>
      <c r="K198" s="181"/>
      <c r="L198" s="182"/>
      <c r="M198" s="182"/>
      <c r="N198" s="183"/>
      <c r="O198" s="182"/>
      <c r="P198" s="182"/>
      <c r="Q198" s="184"/>
      <c r="R198" s="184"/>
      <c r="S198" s="185" t="str">
        <f>IFERROR(CLEAN(INDEX('Risk Matrix'!$H$7:$L$11,MATCH($Q198,'Risk Matrix'!$F$7:$F$11,0),MATCH($R198,'Risk Matrix'!$H$6:$L$6,0))),"")</f>
        <v/>
      </c>
      <c r="T198" s="85" t="str">
        <f>IF(LEFT($B198,7)=RIGHT('SOP template'!$B$1,7),_xlfn.NUMBERVALUE(RIGHT($S198,2)),"")</f>
        <v/>
      </c>
      <c r="U198" s="182"/>
      <c r="V198" s="182"/>
      <c r="W198" s="182"/>
      <c r="X198" s="182"/>
      <c r="Y198" s="182"/>
      <c r="Z198" s="182"/>
      <c r="AA198" s="186" t="str">
        <f>IFERROR(VLOOKUP(IFERROR(LEFT(S198,4),""),Ref!$AF$2:$AG$5,2,0),"")</f>
        <v/>
      </c>
      <c r="AB198" s="186"/>
      <c r="AC198" s="218"/>
      <c r="AD198" s="187" t="str">
        <f>IFERROR(VLOOKUP(AC198,'Training Matrix'!B$4:C$24,2,0),"")</f>
        <v/>
      </c>
      <c r="AE198" s="218"/>
      <c r="AF198" s="188" t="str">
        <f t="shared" si="181"/>
        <v/>
      </c>
      <c r="AG198" s="189" t="str">
        <f t="shared" ca="1" si="182"/>
        <v/>
      </c>
      <c r="AH198" s="50" t="str">
        <f t="shared" ref="AH198" si="268">IF(OR(AC198="",AE198=""),"",CONCATENATE(AC198,"_",K184,"_",L184))</f>
        <v/>
      </c>
    </row>
    <row r="199" spans="1:34" x14ac:dyDescent="0.25">
      <c r="A199" s="5" t="str">
        <f>IF(LEFT(F199,15)='SOP template'!$B$1,1,"")</f>
        <v/>
      </c>
      <c r="B199" s="190" t="str">
        <f t="shared" si="261"/>
        <v>SOP.011.16</v>
      </c>
      <c r="C199" s="190" t="str">
        <f t="shared" si="251"/>
        <v>SOP.011.</v>
      </c>
      <c r="D199" s="190" t="str">
        <f t="shared" si="252"/>
        <v>SOP.011.</v>
      </c>
      <c r="E199" s="190">
        <f t="shared" si="266"/>
        <v>16</v>
      </c>
      <c r="F199" s="190" t="str">
        <f t="shared" si="262"/>
        <v>ALP.BSP.SOP.011.16</v>
      </c>
      <c r="G199" s="190" t="str">
        <f>IF(ISBLANK(N199),"",CONCATENATE(LEFT(F199,15),".",INDEX(Ref!A:A,MATCH(N199,Ref!$K$1:$K$333,0))))</f>
        <v/>
      </c>
      <c r="H199" s="180"/>
      <c r="I199" s="217"/>
      <c r="J199" s="180"/>
      <c r="K199" s="181"/>
      <c r="L199" s="182"/>
      <c r="M199" s="182"/>
      <c r="N199" s="183"/>
      <c r="O199" s="182"/>
      <c r="P199" s="182"/>
      <c r="Q199" s="184"/>
      <c r="R199" s="184"/>
      <c r="S199" s="185" t="str">
        <f>IFERROR(CLEAN(INDEX('Risk Matrix'!$H$7:$L$11,MATCH($Q199,'Risk Matrix'!$F$7:$F$11,0),MATCH($R199,'Risk Matrix'!$H$6:$L$6,0))),"")</f>
        <v/>
      </c>
      <c r="T199" s="85" t="str">
        <f>IF(LEFT($B199,7)=RIGHT('SOP template'!$B$1,7),_xlfn.NUMBERVALUE(RIGHT($S199,2)),"")</f>
        <v/>
      </c>
      <c r="U199" s="182"/>
      <c r="V199" s="182"/>
      <c r="W199" s="182"/>
      <c r="X199" s="182"/>
      <c r="Y199" s="182"/>
      <c r="Z199" s="182"/>
      <c r="AA199" s="186" t="str">
        <f>IFERROR(VLOOKUP(IFERROR(LEFT(S199,4),""),Ref!$AF$2:$AG$5,2,0),"")</f>
        <v/>
      </c>
      <c r="AB199" s="186"/>
      <c r="AC199" s="218"/>
      <c r="AD199" s="187" t="str">
        <f>IFERROR(VLOOKUP(AC199,'Training Matrix'!B$4:C$24,2,0),"")</f>
        <v/>
      </c>
      <c r="AE199" s="218"/>
      <c r="AF199" s="188" t="str">
        <f t="shared" si="181"/>
        <v/>
      </c>
      <c r="AG199" s="189" t="str">
        <f t="shared" ca="1" si="182"/>
        <v/>
      </c>
      <c r="AH199" s="50" t="str">
        <f t="shared" ref="AH199" si="269">IF(OR(AC199="",AE199=""),"",CONCATENATE(AC199,"_",K184,"_",L184))</f>
        <v/>
      </c>
    </row>
    <row r="200" spans="1:34" x14ac:dyDescent="0.25">
      <c r="A200" s="5" t="str">
        <f>IF(LEFT(F200,15)='SOP template'!$B$1,1,"")</f>
        <v/>
      </c>
      <c r="B200" s="190" t="str">
        <f t="shared" si="261"/>
        <v>SOP.011.17</v>
      </c>
      <c r="C200" s="190" t="str">
        <f t="shared" si="251"/>
        <v>SOP.011.</v>
      </c>
      <c r="D200" s="190" t="str">
        <f t="shared" si="252"/>
        <v>SOP.011.</v>
      </c>
      <c r="E200" s="190">
        <f t="shared" si="266"/>
        <v>17</v>
      </c>
      <c r="F200" s="190" t="str">
        <f t="shared" si="262"/>
        <v>ALP.BSP.SOP.011.17</v>
      </c>
      <c r="G200" s="190" t="str">
        <f>IF(ISBLANK(N200),"",CONCATENATE(LEFT(F200,15),".",INDEX(Ref!A:A,MATCH(N200,Ref!$K$1:$K$333,0))))</f>
        <v/>
      </c>
      <c r="H200" s="180"/>
      <c r="I200" s="217"/>
      <c r="J200" s="180"/>
      <c r="K200" s="181"/>
      <c r="L200" s="182"/>
      <c r="M200" s="182"/>
      <c r="N200" s="183"/>
      <c r="O200" s="182"/>
      <c r="P200" s="182"/>
      <c r="Q200" s="184"/>
      <c r="R200" s="184"/>
      <c r="S200" s="185" t="str">
        <f>IFERROR(CLEAN(INDEX('Risk Matrix'!$H$7:$L$11,MATCH($Q200,'Risk Matrix'!$F$7:$F$11,0),MATCH($R200,'Risk Matrix'!$H$6:$L$6,0))),"")</f>
        <v/>
      </c>
      <c r="T200" s="85" t="str">
        <f>IF(LEFT($B200,7)=RIGHT('SOP template'!$B$1,7),_xlfn.NUMBERVALUE(RIGHT($S200,2)),"")</f>
        <v/>
      </c>
      <c r="U200" s="182"/>
      <c r="V200" s="182"/>
      <c r="W200" s="182"/>
      <c r="X200" s="182"/>
      <c r="Y200" s="182"/>
      <c r="Z200" s="182"/>
      <c r="AA200" s="186" t="str">
        <f>IFERROR(VLOOKUP(IFERROR(LEFT(S200,4),""),Ref!$AF$2:$AG$5,2,0),"")</f>
        <v/>
      </c>
      <c r="AB200" s="186"/>
      <c r="AC200" s="218"/>
      <c r="AD200" s="187" t="str">
        <f>IFERROR(VLOOKUP(AC200,'Training Matrix'!B$4:C$24,2,0),"")</f>
        <v/>
      </c>
      <c r="AE200" s="218"/>
      <c r="AF200" s="188" t="str">
        <f t="shared" si="181"/>
        <v/>
      </c>
      <c r="AG200" s="189" t="str">
        <f t="shared" ca="1" si="182"/>
        <v/>
      </c>
      <c r="AH200" s="50" t="str">
        <f t="shared" ref="AH200" si="270">IF(OR(AC200="",AE200=""),"",CONCATENATE(AC200,"_",K184,"_",L184))</f>
        <v/>
      </c>
    </row>
    <row r="201" spans="1:34" x14ac:dyDescent="0.25">
      <c r="A201" s="5" t="str">
        <f>IF(LEFT(F201,15)='SOP template'!$B$1,1,"")</f>
        <v/>
      </c>
      <c r="B201" s="190" t="str">
        <f t="shared" si="261"/>
        <v>SOP.011.18</v>
      </c>
      <c r="C201" s="190" t="str">
        <f t="shared" si="251"/>
        <v>SOP.011.</v>
      </c>
      <c r="D201" s="190" t="str">
        <f t="shared" si="252"/>
        <v>SOP.011.</v>
      </c>
      <c r="E201" s="190">
        <f t="shared" si="266"/>
        <v>18</v>
      </c>
      <c r="F201" s="190" t="str">
        <f t="shared" si="262"/>
        <v>ALP.BSP.SOP.011.18</v>
      </c>
      <c r="G201" s="190" t="str">
        <f>IF(ISBLANK(N201),"",CONCATENATE(LEFT(F201,15),".",INDEX(Ref!A:A,MATCH(N201,Ref!$K$1:$K$333,0))))</f>
        <v/>
      </c>
      <c r="H201" s="180"/>
      <c r="I201" s="217"/>
      <c r="J201" s="180"/>
      <c r="K201" s="181"/>
      <c r="L201" s="182"/>
      <c r="M201" s="182"/>
      <c r="N201" s="183"/>
      <c r="O201" s="182"/>
      <c r="P201" s="182"/>
      <c r="Q201" s="184"/>
      <c r="R201" s="184"/>
      <c r="S201" s="185" t="str">
        <f>IFERROR(CLEAN(INDEX('Risk Matrix'!$H$7:$L$11,MATCH($Q201,'Risk Matrix'!$F$7:$F$11,0),MATCH($R201,'Risk Matrix'!$H$6:$L$6,0))),"")</f>
        <v/>
      </c>
      <c r="T201" s="85" t="str">
        <f>IF(LEFT($B201,7)=RIGHT('SOP template'!$B$1,7),_xlfn.NUMBERVALUE(RIGHT($S201,2)),"")</f>
        <v/>
      </c>
      <c r="U201" s="182"/>
      <c r="V201" s="182"/>
      <c r="W201" s="182"/>
      <c r="X201" s="182"/>
      <c r="Y201" s="182"/>
      <c r="Z201" s="182"/>
      <c r="AA201" s="186" t="str">
        <f>IFERROR(VLOOKUP(IFERROR(LEFT(S201,4),""),Ref!$AF$2:$AG$5,2,0),"")</f>
        <v/>
      </c>
      <c r="AB201" s="186"/>
      <c r="AC201" s="218"/>
      <c r="AD201" s="187" t="str">
        <f>IFERROR(VLOOKUP(AC201,'Training Matrix'!B$4:C$24,2,0),"")</f>
        <v/>
      </c>
      <c r="AE201" s="218"/>
      <c r="AF201" s="188" t="str">
        <f t="shared" si="181"/>
        <v/>
      </c>
      <c r="AG201" s="189" t="str">
        <f t="shared" ca="1" si="182"/>
        <v/>
      </c>
      <c r="AH201" s="50" t="str">
        <f t="shared" ref="AH201" si="271">IF(OR(AC201="",AE201=""),"",CONCATENATE(AC201,"_",K184,"_",L184))</f>
        <v/>
      </c>
    </row>
    <row r="202" spans="1:34" ht="60" x14ac:dyDescent="0.25">
      <c r="A202" s="5" t="str">
        <f>IF(LEFT(F202,15)='SOP template'!$B$1,1,"")</f>
        <v/>
      </c>
      <c r="B202" s="179" t="str">
        <f t="shared" ref="B202" si="272">IF(ISBLANK($K202),CONCATENATE($B$2,".",TEXT(J202,"000"),".",$E202),CONCATENATE(RIGHT($K202,7),".1"))</f>
        <v>SOP.012.1</v>
      </c>
      <c r="C202" s="179" t="str">
        <f>IF(ISBLANK($K202),CONCATENATE(LEFT($B112,8),IF($E202=1,1.1,IF($E202=2,1.4,IF($E202=3,2,IF($E202=4,2.4,IF($E202=5,3,IF($E202=6,3.4,IF($E202=7,4,IF($E202=8,4.4,IF($E202=9,5,IF($E202=10,5.4,IF($E202=11,6,IF($E202=12,6.4,""))))))))))))),CONCATENATE(RIGHT($K202,7),".1"))</f>
        <v>SOP.012.1</v>
      </c>
      <c r="D202" s="179" t="str">
        <f>IF(ISBLANK($K202),CONCATENATE(LEFT($B112,8),IF($E202=1,1,IF($E202=2,1.3,IF($E202=3,1.5,IF($E202=4,2,IF($E202=5,2.3,IF($E202=6,2.5,IF($E202=7,3,IF($E202=8,3.3,IF($E202=9,3.5,IF($E202=10,4,IF($E202=11,4.3,IF($E202=12,4.5,""))))))))))))),CONCATENATE(RIGHT($K202,7),".1"))</f>
        <v>SOP.012.1</v>
      </c>
      <c r="E202" s="179">
        <f t="shared" si="266"/>
        <v>1</v>
      </c>
      <c r="F202" s="179" t="str">
        <f t="shared" ref="F202" si="273">K202&amp;"."&amp;TEXT(E202,"00")</f>
        <v>ALP.BSP.SOP.012.01</v>
      </c>
      <c r="G202" s="179" t="str">
        <f>IF(ISBLANK(N202),"",CONCATENATE(LEFT(F202,15),".",INDEX(Ref!A:A,MATCH(N202,Ref!$K$1:$K$333,0))))</f>
        <v>ALP.BSP.SOP.012.1</v>
      </c>
      <c r="H202" s="217" t="s">
        <v>394</v>
      </c>
      <c r="I202" s="217" t="s">
        <v>275</v>
      </c>
      <c r="J202" s="180">
        <v>12</v>
      </c>
      <c r="K202" s="181" t="str">
        <f>IFERROR(CONCATENATE(INDEX(Ref!$Z$2:$Z$8,MATCH(H202,Ref!$AA$2:$AA$8,0)),".",I202,".SOP.",TEXT(J202,"000")),CONCATENATE(H202,".",I202,".SOP.",TEXT(J202,"000")))</f>
        <v>ALP.BSP.SOP.012</v>
      </c>
      <c r="L202" s="191" t="s">
        <v>964</v>
      </c>
      <c r="M202" s="182" t="s">
        <v>965</v>
      </c>
      <c r="N202" s="183" t="s">
        <v>117</v>
      </c>
      <c r="O202" s="182" t="s">
        <v>411</v>
      </c>
      <c r="P202" s="182" t="s">
        <v>636</v>
      </c>
      <c r="Q202" s="184" t="s">
        <v>89</v>
      </c>
      <c r="R202" s="184" t="s">
        <v>90</v>
      </c>
      <c r="S202" s="185" t="str">
        <f>IFERROR(CLEAN(INDEX('Risk Matrix'!$H$7:$L$11,MATCH($Q202,'Risk Matrix'!$F$7:$F$11,0),MATCH($R202,'Risk Matrix'!$H$6:$L$6,0))),"")</f>
        <v>Medium 2</v>
      </c>
      <c r="T202" s="85" t="str">
        <f>IF(LEFT($B202,7)=RIGHT('SOP template'!$B$1,7),_xlfn.NUMBERVALUE(RIGHT($S202,2)),"")</f>
        <v/>
      </c>
      <c r="U202" s="182" t="s">
        <v>645</v>
      </c>
      <c r="V202" s="182" t="s">
        <v>736</v>
      </c>
      <c r="W202" s="182" t="s">
        <v>737</v>
      </c>
      <c r="X202" s="182" t="s">
        <v>738</v>
      </c>
      <c r="Y202" s="182" t="s">
        <v>739</v>
      </c>
      <c r="Z202" s="182" t="s">
        <v>740</v>
      </c>
      <c r="AA202" s="186">
        <f>IFERROR(VLOOKUP(IFERROR(LEFT(S202,4),""),Ref!$AF$2:$AG$5,2,0),"")</f>
        <v>24</v>
      </c>
      <c r="AB202" s="186">
        <f>MIN($AA$202:$AA$219)</f>
        <v>24</v>
      </c>
      <c r="AC202" s="218" t="s">
        <v>289</v>
      </c>
      <c r="AD202" s="187" t="str">
        <f>IFERROR(VLOOKUP(AC202,'Training Matrix'!B$4:C$24,2,0),"")</f>
        <v>Dock Manager</v>
      </c>
      <c r="AE202" s="221">
        <v>45792</v>
      </c>
      <c r="AF202" s="188">
        <f t="shared" ref="AF202:AF265" si="274">IF(AE202="","",EDATE(AE202,AB$4))</f>
        <v>46522</v>
      </c>
      <c r="AG202" s="189" t="str">
        <f t="shared" ref="AG202:AG265" ca="1" si="275">IF(AE202="","",IF(TODAY()&gt;AF202,"Overdue","Current"))</f>
        <v>Current</v>
      </c>
      <c r="AH202" s="50" t="str">
        <f t="shared" ref="AH202" si="276">IF(OR(AC202="",AE202=""),"",CONCATENATE(AC202,"_",K202,"_",L202))</f>
        <v>Person 1_ALP.BSP.SOP.012_Soak Tank</v>
      </c>
    </row>
    <row r="203" spans="1:34" ht="45" x14ac:dyDescent="0.25">
      <c r="A203" s="5" t="str">
        <f>IF(LEFT(F203,15)='SOP template'!$B$1,1,"")</f>
        <v/>
      </c>
      <c r="B203" s="190" t="str">
        <f>CONCATENATE(LEFT(B202,8),E203)</f>
        <v>SOP.012.2</v>
      </c>
      <c r="C203" s="190" t="str">
        <f>IF(ISBLANK($K203),CONCATENATE(LEFT($B202,8),IF($E203=1,1.1,IF($E203=2,1.4,IF($E203=3,2,IF($E203=4,2.4,IF($E203=5,3,IF($E203=6,3.4,IF($E203=7,4,IF($E203=8,4.4,IF($E203=9,5,IF($E203=10,5.4,IF($E203=11,6,IF($E203=12,6.4,""))))))))))))),CONCATENATE(RIGHT($K203,7),".1"))</f>
        <v>SOP.012.1.4</v>
      </c>
      <c r="D203" s="190" t="str">
        <f>IF(ISBLANK($K203),CONCATENATE(LEFT($B202,8),IF($E203=1,1,IF($E203=2,1.3,IF($E203=3,1.5,IF($E203=4,2,IF($E203=5,2.3,IF($E203=6,2.5,IF($E203=7,3,IF($E203=8,3.3,IF($E203=9,3.5,IF($E203=10,4,IF($E203=11,4.3,IF($E203=12,4.5,""))))))))))))),CONCATENATE(RIGHT($K203,7),".1"))</f>
        <v>SOP.012.1.3</v>
      </c>
      <c r="E203" s="190">
        <f t="shared" si="266"/>
        <v>2</v>
      </c>
      <c r="F203" s="190" t="str">
        <f>IF(K203=0,LEFT(F202,16)&amp;TEXT(E203,"00"),K203&amp;"."&amp;TEXT(E203,"00"))</f>
        <v>ALP.BSP.SOP.012.02</v>
      </c>
      <c r="G203" s="190" t="str">
        <f>IF(ISBLANK(N203),"",CONCATENATE(LEFT(F203,15),".",INDEX(Ref!A:A,MATCH(N203,Ref!$K$1:$K$333,0))))</f>
        <v>ALP.BSP.SOP.012.2</v>
      </c>
      <c r="H203" s="180"/>
      <c r="I203" s="217"/>
      <c r="J203" s="180"/>
      <c r="K203" s="181"/>
      <c r="L203" s="182"/>
      <c r="M203" s="182"/>
      <c r="N203" s="183" t="s">
        <v>94</v>
      </c>
      <c r="O203" s="182" t="s">
        <v>498</v>
      </c>
      <c r="P203" s="182" t="s">
        <v>966</v>
      </c>
      <c r="Q203" s="184" t="s">
        <v>92</v>
      </c>
      <c r="R203" s="184" t="s">
        <v>90</v>
      </c>
      <c r="S203" s="185" t="str">
        <f>IFERROR(CLEAN(INDEX('Risk Matrix'!$H$7:$L$11,MATCH($Q203,'Risk Matrix'!$F$7:$F$11,0),MATCH($R203,'Risk Matrix'!$H$6:$L$6,0))),"")</f>
        <v>Medium 2</v>
      </c>
      <c r="T203" s="85" t="str">
        <f>IF(LEFT($B203,7)=RIGHT('SOP template'!$B$1,7),_xlfn.NUMBERVALUE(RIGHT($S203,2)),"")</f>
        <v/>
      </c>
      <c r="U203" s="182" t="s">
        <v>741</v>
      </c>
      <c r="V203" s="182" t="s">
        <v>742</v>
      </c>
      <c r="W203" s="182" t="s">
        <v>743</v>
      </c>
      <c r="X203" s="182" t="s">
        <v>744</v>
      </c>
      <c r="Y203" s="182" t="s">
        <v>745</v>
      </c>
      <c r="Z203" s="182" t="s">
        <v>746</v>
      </c>
      <c r="AA203" s="186">
        <f>IFERROR(VLOOKUP(IFERROR(LEFT(S203,4),""),Ref!$AF$2:$AG$5,2,0),"")</f>
        <v>24</v>
      </c>
      <c r="AB203" s="186"/>
      <c r="AC203" s="218" t="s">
        <v>290</v>
      </c>
      <c r="AD203" s="187" t="str">
        <f>IFERROR(VLOOKUP(AC203,'Training Matrix'!B$4:C$24,2,0),"")</f>
        <v>WHS Team member</v>
      </c>
      <c r="AE203" s="221">
        <v>45792</v>
      </c>
      <c r="AF203" s="188">
        <f t="shared" si="274"/>
        <v>46522</v>
      </c>
      <c r="AG203" s="189" t="str">
        <f t="shared" ca="1" si="275"/>
        <v>Current</v>
      </c>
      <c r="AH203" s="50" t="str">
        <f t="shared" ref="AH203" si="277">IF(OR(AC203="",AE203=""),"",CONCATENATE(AC203,"_",K202,"_",L202))</f>
        <v>Person 2_ALP.BSP.SOP.012_Soak Tank</v>
      </c>
    </row>
    <row r="204" spans="1:34" ht="45" x14ac:dyDescent="0.25">
      <c r="A204" s="5" t="str">
        <f>IF(LEFT(F204,15)='SOP template'!$B$1,1,"")</f>
        <v/>
      </c>
      <c r="B204" s="190" t="str">
        <f t="shared" si="176"/>
        <v>SOP.012.3</v>
      </c>
      <c r="C204" s="190" t="str">
        <f t="shared" ref="C204:C219" si="278">IF(ISBLANK($K204),CONCATENATE(LEFT($B203,8),IF($E204=1,1.1,IF($E204=2,1.4,IF($E204=3,2,IF($E204=4,2.4,IF($E204=5,3,IF($E204=6,3.4,IF($E204=7,4,IF($E204=8,4.4,IF($E204=9,5,IF($E204=10,5.4,IF($E204=11,6,IF($E204=12,6.4,""))))))))))))),CONCATENATE(RIGHT($K204,7),".1"))</f>
        <v>SOP.012.2</v>
      </c>
      <c r="D204" s="190" t="str">
        <f t="shared" ref="D204:D219" si="279">IF(ISBLANK($K204),CONCATENATE(LEFT($B203,8),IF($E204=1,1,IF($E204=2,1.3,IF($E204=3,1.5,IF($E204=4,2,IF($E204=5,2.3,IF($E204=6,2.5,IF($E204=7,3,IF($E204=8,3.3,IF($E204=9,3.5,IF($E204=10,4,IF($E204=11,4.3,IF($E204=12,4.5,""))))))))))))),CONCATENATE(RIGHT($K204,7),".1"))</f>
        <v>SOP.012.1.5</v>
      </c>
      <c r="E204" s="190">
        <f t="shared" si="266"/>
        <v>3</v>
      </c>
      <c r="F204" s="190" t="str">
        <f t="shared" si="177"/>
        <v>ALP.BSP.SOP.012.03</v>
      </c>
      <c r="G204" s="190" t="str">
        <f>IF(ISBLANK(N204),"",CONCATENATE(LEFT(F204,15),".",INDEX(Ref!A:A,MATCH(N204,Ref!$K$1:$K$333,0))))</f>
        <v>ALP.BSP.SOP.012.7</v>
      </c>
      <c r="H204" s="180"/>
      <c r="I204" s="217"/>
      <c r="J204" s="180"/>
      <c r="K204" s="181"/>
      <c r="L204" s="182"/>
      <c r="M204" s="182"/>
      <c r="N204" s="183" t="s">
        <v>88</v>
      </c>
      <c r="O204" s="182" t="s">
        <v>417</v>
      </c>
      <c r="P204" s="182" t="s">
        <v>967</v>
      </c>
      <c r="Q204" s="184" t="s">
        <v>89</v>
      </c>
      <c r="R204" s="184" t="s">
        <v>91</v>
      </c>
      <c r="S204" s="185" t="str">
        <f>IFERROR(CLEAN(INDEX('Risk Matrix'!$H$7:$L$11,MATCH($Q204,'Risk Matrix'!$F$7:$F$11,0),MATCH($R204,'Risk Matrix'!$H$6:$L$6,0))),"")</f>
        <v>Low 1</v>
      </c>
      <c r="T204" s="85" t="str">
        <f>IF(LEFT($B204,7)=RIGHT('SOP template'!$B$1,7),_xlfn.NUMBERVALUE(RIGHT($S204,2)),"")</f>
        <v/>
      </c>
      <c r="U204" s="182" t="s">
        <v>683</v>
      </c>
      <c r="V204" s="182" t="s">
        <v>747</v>
      </c>
      <c r="W204" s="182" t="s">
        <v>748</v>
      </c>
      <c r="X204" s="182" t="s">
        <v>749</v>
      </c>
      <c r="Y204" s="182" t="s">
        <v>750</v>
      </c>
      <c r="Z204" s="182" t="s">
        <v>751</v>
      </c>
      <c r="AA204" s="186">
        <f>IFERROR(VLOOKUP(IFERROR(LEFT(S204,4),""),Ref!$AF$2:$AG$5,2,0),"")</f>
        <v>36</v>
      </c>
      <c r="AB204" s="186"/>
      <c r="AC204" s="218" t="s">
        <v>167</v>
      </c>
      <c r="AD204" s="187" t="str">
        <f>IFERROR(VLOOKUP(AC204,'Training Matrix'!B$4:C$24,2,0),"")</f>
        <v>Bioscience Manager</v>
      </c>
      <c r="AE204" s="221">
        <v>45792</v>
      </c>
      <c r="AF204" s="188">
        <f t="shared" si="274"/>
        <v>46522</v>
      </c>
      <c r="AG204" s="189" t="str">
        <f t="shared" ca="1" si="275"/>
        <v>Current</v>
      </c>
      <c r="AH204" s="50" t="str">
        <f t="shared" ref="AH204" si="280">IF(OR(AC204="",AE204=""),"",CONCATENATE(AC204,"_",K202,"_",L202))</f>
        <v>Person 3_ALP.BSP.SOP.012_Soak Tank</v>
      </c>
    </row>
    <row r="205" spans="1:34" ht="60" x14ac:dyDescent="0.25">
      <c r="A205" s="5" t="str">
        <f>IF(LEFT(F205,15)='SOP template'!$B$1,1,"")</f>
        <v/>
      </c>
      <c r="B205" s="190" t="str">
        <f t="shared" si="176"/>
        <v>SOP.012.4</v>
      </c>
      <c r="C205" s="190" t="str">
        <f t="shared" si="278"/>
        <v>SOP.012.2.4</v>
      </c>
      <c r="D205" s="190" t="str">
        <f t="shared" si="279"/>
        <v>SOP.012.2</v>
      </c>
      <c r="E205" s="190">
        <f t="shared" si="266"/>
        <v>4</v>
      </c>
      <c r="F205" s="190" t="str">
        <f t="shared" si="177"/>
        <v>ALP.BSP.SOP.012.04</v>
      </c>
      <c r="G205" s="190" t="str">
        <f>IF(ISBLANK(N205),"",CONCATENATE(LEFT(F205,15),".",INDEX(Ref!A:A,MATCH(N205,Ref!$K$1:$K$333,0))))</f>
        <v>ALP.BSP.SOP.012.20</v>
      </c>
      <c r="H205" s="180"/>
      <c r="I205" s="217"/>
      <c r="J205" s="180"/>
      <c r="K205" s="181"/>
      <c r="L205" s="182"/>
      <c r="M205" s="182"/>
      <c r="N205" s="183" t="s">
        <v>133</v>
      </c>
      <c r="O205" s="182" t="s">
        <v>548</v>
      </c>
      <c r="P205" s="182" t="s">
        <v>549</v>
      </c>
      <c r="Q205" s="184" t="s">
        <v>89</v>
      </c>
      <c r="R205" s="184" t="s">
        <v>91</v>
      </c>
      <c r="S205" s="185" t="str">
        <f>IFERROR(CLEAN(INDEX('Risk Matrix'!$H$7:$L$11,MATCH($Q205,'Risk Matrix'!$F$7:$F$11,0),MATCH($R205,'Risk Matrix'!$H$6:$L$6,0))),"")</f>
        <v>Low 1</v>
      </c>
      <c r="T205" s="85" t="str">
        <f>IF(LEFT($B205,7)=RIGHT('SOP template'!$B$1,7),_xlfn.NUMBERVALUE(RIGHT($S205,2)),"")</f>
        <v/>
      </c>
      <c r="U205" s="182" t="s">
        <v>663</v>
      </c>
      <c r="V205" s="182" t="s">
        <v>752</v>
      </c>
      <c r="W205" s="182" t="s">
        <v>753</v>
      </c>
      <c r="X205" s="182" t="s">
        <v>754</v>
      </c>
      <c r="Y205" s="182" t="s">
        <v>755</v>
      </c>
      <c r="Z205" s="182"/>
      <c r="AA205" s="186">
        <f>IFERROR(VLOOKUP(IFERROR(LEFT(S205,4),""),Ref!$AF$2:$AG$5,2,0),"")</f>
        <v>36</v>
      </c>
      <c r="AB205" s="186"/>
      <c r="AC205" s="218" t="s">
        <v>168</v>
      </c>
      <c r="AD205" s="187" t="str">
        <f>IFERROR(VLOOKUP(AC205,'Training Matrix'!B$4:C$24,2,0),"")</f>
        <v>Collection Manager</v>
      </c>
      <c r="AE205" s="221">
        <v>45792</v>
      </c>
      <c r="AF205" s="188">
        <f t="shared" si="274"/>
        <v>46522</v>
      </c>
      <c r="AG205" s="189" t="str">
        <f t="shared" ca="1" si="275"/>
        <v>Current</v>
      </c>
      <c r="AH205" s="50" t="str">
        <f t="shared" ref="AH205" si="281">IF(OR(AC205="",AE205=""),"",CONCATENATE(AC205,"_",K202,"_",L202))</f>
        <v>Person 4_ALP.BSP.SOP.012_Soak Tank</v>
      </c>
    </row>
    <row r="206" spans="1:34" ht="45" x14ac:dyDescent="0.25">
      <c r="A206" s="5" t="str">
        <f>IF(LEFT(F206,15)='SOP template'!$B$1,1,"")</f>
        <v/>
      </c>
      <c r="B206" s="190" t="str">
        <f t="shared" si="176"/>
        <v>SOP.012.5</v>
      </c>
      <c r="C206" s="190" t="str">
        <f t="shared" si="278"/>
        <v>SOP.012.3</v>
      </c>
      <c r="D206" s="190" t="str">
        <f t="shared" si="279"/>
        <v>SOP.012.2.3</v>
      </c>
      <c r="E206" s="190">
        <f t="shared" si="266"/>
        <v>5</v>
      </c>
      <c r="F206" s="190" t="str">
        <f t="shared" si="177"/>
        <v>ALP.BSP.SOP.012.05</v>
      </c>
      <c r="G206" s="190" t="str">
        <f>IF(ISBLANK(N206),"",CONCATENATE(LEFT(F206,15),".",INDEX(Ref!A:A,MATCH(N206,Ref!$K$1:$K$333,0))))</f>
        <v>ALP.BSP.SOP.012.11</v>
      </c>
      <c r="H206" s="180"/>
      <c r="I206" s="217"/>
      <c r="J206" s="180"/>
      <c r="K206" s="181"/>
      <c r="L206" s="182"/>
      <c r="M206" s="182"/>
      <c r="N206" s="183" t="s">
        <v>95</v>
      </c>
      <c r="O206" s="182" t="s">
        <v>968</v>
      </c>
      <c r="P206" s="182" t="s">
        <v>969</v>
      </c>
      <c r="Q206" s="184" t="s">
        <v>89</v>
      </c>
      <c r="R206" s="184" t="s">
        <v>90</v>
      </c>
      <c r="S206" s="185" t="str">
        <f>IFERROR(CLEAN(INDEX('Risk Matrix'!$H$7:$L$11,MATCH($Q206,'Risk Matrix'!$F$7:$F$11,0),MATCH($R206,'Risk Matrix'!$H$6:$L$6,0))),"")</f>
        <v>Medium 2</v>
      </c>
      <c r="T206" s="85" t="str">
        <f>IF(LEFT($B206,7)=RIGHT('SOP template'!$B$1,7),_xlfn.NUMBERVALUE(RIGHT($S206,2)),"")</f>
        <v/>
      </c>
      <c r="U206" s="182" t="s">
        <v>756</v>
      </c>
      <c r="V206" s="182"/>
      <c r="W206" s="182" t="s">
        <v>757</v>
      </c>
      <c r="X206" s="182" t="s">
        <v>758</v>
      </c>
      <c r="Y206" s="182" t="s">
        <v>759</v>
      </c>
      <c r="Z206" s="182"/>
      <c r="AA206" s="186">
        <f>IFERROR(VLOOKUP(IFERROR(LEFT(S206,4),""),Ref!$AF$2:$AG$5,2,0),"")</f>
        <v>24</v>
      </c>
      <c r="AB206" s="186"/>
      <c r="AC206" s="218" t="s">
        <v>169</v>
      </c>
      <c r="AD206" s="187" t="str">
        <f>IFERROR(VLOOKUP(AC206,'Training Matrix'!B$4:C$24,2,0),"")</f>
        <v>Technician</v>
      </c>
      <c r="AE206" s="221">
        <v>45792</v>
      </c>
      <c r="AF206" s="188">
        <f t="shared" si="274"/>
        <v>46522</v>
      </c>
      <c r="AG206" s="189" t="str">
        <f t="shared" ca="1" si="275"/>
        <v>Current</v>
      </c>
      <c r="AH206" s="50" t="str">
        <f t="shared" ref="AH206" si="282">IF(OR(AC206="",AE206=""),"",CONCATENATE(AC206,"_",K202,"_",L202))</f>
        <v>Person 5_ALP.BSP.SOP.012_Soak Tank</v>
      </c>
    </row>
    <row r="207" spans="1:34" ht="30" x14ac:dyDescent="0.25">
      <c r="A207" s="5" t="str">
        <f>IF(LEFT(F207,15)='SOP template'!$B$1,1,"")</f>
        <v/>
      </c>
      <c r="B207" s="190" t="str">
        <f t="shared" si="176"/>
        <v>SOP.012.6</v>
      </c>
      <c r="C207" s="190" t="str">
        <f t="shared" si="278"/>
        <v>SOP.012.3.4</v>
      </c>
      <c r="D207" s="190" t="str">
        <f t="shared" si="279"/>
        <v>SOP.012.2.5</v>
      </c>
      <c r="E207" s="190">
        <f t="shared" si="266"/>
        <v>6</v>
      </c>
      <c r="F207" s="190" t="str">
        <f t="shared" si="177"/>
        <v>ALP.BSP.SOP.012.06</v>
      </c>
      <c r="G207" s="190" t="str">
        <f>IF(ISBLANK(N207),"",CONCATENATE(LEFT(F207,15),".",INDEX(Ref!A:A,MATCH(N207,Ref!$K$1:$K$333,0))))</f>
        <v>ALP.BSP.SOP.012.21</v>
      </c>
      <c r="H207" s="180"/>
      <c r="I207" s="217"/>
      <c r="J207" s="180"/>
      <c r="K207" s="181"/>
      <c r="L207" s="182"/>
      <c r="M207" s="182"/>
      <c r="N207" s="183" t="s">
        <v>134</v>
      </c>
      <c r="O207" s="182"/>
      <c r="P207" s="182"/>
      <c r="Q207" s="184"/>
      <c r="R207" s="184"/>
      <c r="S207" s="185" t="str">
        <f>IFERROR(CLEAN(INDEX('Risk Matrix'!$H$7:$L$11,MATCH($Q207,'Risk Matrix'!$F$7:$F$11,0),MATCH($R207,'Risk Matrix'!$H$6:$L$6,0))),"")</f>
        <v/>
      </c>
      <c r="T207" s="85" t="str">
        <f>IF(LEFT($B207,7)=RIGHT('SOP template'!$B$1,7),_xlfn.NUMBERVALUE(RIGHT($S207,2)),"")</f>
        <v/>
      </c>
      <c r="U207" s="182"/>
      <c r="V207" s="182"/>
      <c r="W207" s="182" t="s">
        <v>760</v>
      </c>
      <c r="X207" s="182" t="s">
        <v>761</v>
      </c>
      <c r="Y207" s="182" t="s">
        <v>762</v>
      </c>
      <c r="Z207" s="182"/>
      <c r="AA207" s="186" t="str">
        <f>IFERROR(VLOOKUP(IFERROR(LEFT(S207,4),""),Ref!$AF$2:$AG$5,2,0),"")</f>
        <v/>
      </c>
      <c r="AB207" s="186"/>
      <c r="AC207" s="218" t="s">
        <v>170</v>
      </c>
      <c r="AD207" s="187" t="str">
        <f>IFERROR(VLOOKUP(AC207,'Training Matrix'!B$4:C$24,2,0),"")</f>
        <v>Scientist</v>
      </c>
      <c r="AE207" s="221">
        <v>45792</v>
      </c>
      <c r="AF207" s="188">
        <f t="shared" si="274"/>
        <v>46522</v>
      </c>
      <c r="AG207" s="189" t="str">
        <f t="shared" ca="1" si="275"/>
        <v>Current</v>
      </c>
      <c r="AH207" s="50" t="str">
        <f t="shared" ref="AH207" si="283">IF(OR(AC207="",AE207=""),"",CONCATENATE(AC207,"_",K202,"_",L202))</f>
        <v>Person 6_ALP.BSP.SOP.012_Soak Tank</v>
      </c>
    </row>
    <row r="208" spans="1:34" ht="30" x14ac:dyDescent="0.25">
      <c r="A208" s="5" t="str">
        <f>IF(LEFT(F208,15)='SOP template'!$B$1,1,"")</f>
        <v/>
      </c>
      <c r="B208" s="190" t="str">
        <f t="shared" si="176"/>
        <v>SOP.012.7</v>
      </c>
      <c r="C208" s="190" t="str">
        <f t="shared" si="278"/>
        <v>SOP.012.4</v>
      </c>
      <c r="D208" s="190" t="str">
        <f t="shared" si="279"/>
        <v>SOP.012.3</v>
      </c>
      <c r="E208" s="190">
        <f t="shared" si="266"/>
        <v>7</v>
      </c>
      <c r="F208" s="190" t="str">
        <f t="shared" si="177"/>
        <v>ALP.BSP.SOP.012.07</v>
      </c>
      <c r="G208" s="190" t="str">
        <f>IF(ISBLANK(N208),"",CONCATENATE(LEFT(F208,15),".",INDEX(Ref!A:A,MATCH(N208,Ref!$K$1:$K$333,0))))</f>
        <v/>
      </c>
      <c r="H208" s="180"/>
      <c r="I208" s="217"/>
      <c r="J208" s="180"/>
      <c r="K208" s="181"/>
      <c r="L208" s="182"/>
      <c r="M208" s="182"/>
      <c r="N208" s="183"/>
      <c r="O208" s="182"/>
      <c r="P208" s="182"/>
      <c r="Q208" s="184"/>
      <c r="R208" s="184"/>
      <c r="S208" s="185" t="str">
        <f>IFERROR(CLEAN(INDEX('Risk Matrix'!$H$7:$L$11,MATCH($Q208,'Risk Matrix'!$F$7:$F$11,0),MATCH($R208,'Risk Matrix'!$H$6:$L$6,0))),"")</f>
        <v/>
      </c>
      <c r="T208" s="85" t="str">
        <f>IF(LEFT($B208,7)=RIGHT('SOP template'!$B$1,7),_xlfn.NUMBERVALUE(RIGHT($S208,2)),"")</f>
        <v/>
      </c>
      <c r="U208" s="182"/>
      <c r="V208" s="182"/>
      <c r="W208" s="182"/>
      <c r="X208" s="182" t="s">
        <v>763</v>
      </c>
      <c r="Y208" s="182"/>
      <c r="Z208" s="182"/>
      <c r="AA208" s="186" t="str">
        <f>IFERROR(VLOOKUP(IFERROR(LEFT(S208,4),""),Ref!$AF$2:$AG$5,2,0),"")</f>
        <v/>
      </c>
      <c r="AB208" s="186"/>
      <c r="AC208" s="218"/>
      <c r="AD208" s="187" t="str">
        <f>IFERROR(VLOOKUP(AC208,'Training Matrix'!B$4:C$24,2,0),"")</f>
        <v/>
      </c>
      <c r="AE208" s="221"/>
      <c r="AF208" s="188" t="str">
        <f t="shared" si="274"/>
        <v/>
      </c>
      <c r="AG208" s="189" t="str">
        <f t="shared" ca="1" si="275"/>
        <v/>
      </c>
      <c r="AH208" s="50" t="str">
        <f t="shared" ref="AH208" si="284">IF(OR(AC208="",AE208=""),"",CONCATENATE(AC208,"_",K202,"_",L202))</f>
        <v/>
      </c>
    </row>
    <row r="209" spans="1:34" ht="30" x14ac:dyDescent="0.25">
      <c r="A209" s="5" t="str">
        <f>IF(LEFT(F209,15)='SOP template'!$B$1,1,"")</f>
        <v/>
      </c>
      <c r="B209" s="190" t="str">
        <f t="shared" si="176"/>
        <v>SOP.012.8</v>
      </c>
      <c r="C209" s="190" t="str">
        <f t="shared" si="278"/>
        <v>SOP.012.4.4</v>
      </c>
      <c r="D209" s="190" t="str">
        <f t="shared" si="279"/>
        <v>SOP.012.3.3</v>
      </c>
      <c r="E209" s="190">
        <f t="shared" si="266"/>
        <v>8</v>
      </c>
      <c r="F209" s="190" t="str">
        <f t="shared" si="177"/>
        <v>ALP.BSP.SOP.012.08</v>
      </c>
      <c r="G209" s="190" t="str">
        <f>IF(ISBLANK(N209),"",CONCATENATE(LEFT(F209,15),".",INDEX(Ref!A:A,MATCH(N209,Ref!$K$1:$K$333,0))))</f>
        <v/>
      </c>
      <c r="H209" s="180"/>
      <c r="I209" s="217"/>
      <c r="J209" s="180"/>
      <c r="K209" s="181"/>
      <c r="L209" s="182"/>
      <c r="M209" s="182"/>
      <c r="N209" s="183"/>
      <c r="O209" s="182"/>
      <c r="P209" s="182"/>
      <c r="Q209" s="184"/>
      <c r="R209" s="184"/>
      <c r="S209" s="185" t="str">
        <f>IFERROR(CLEAN(INDEX('Risk Matrix'!$H$7:$L$11,MATCH($Q209,'Risk Matrix'!$F$7:$F$11,0),MATCH($R209,'Risk Matrix'!$H$6:$L$6,0))),"")</f>
        <v/>
      </c>
      <c r="T209" s="85" t="str">
        <f>IF(LEFT($B209,7)=RIGHT('SOP template'!$B$1,7),_xlfn.NUMBERVALUE(RIGHT($S209,2)),"")</f>
        <v/>
      </c>
      <c r="U209" s="182"/>
      <c r="V209" s="182"/>
      <c r="W209" s="182"/>
      <c r="X209" s="182" t="s">
        <v>764</v>
      </c>
      <c r="Y209" s="182"/>
      <c r="Z209" s="182"/>
      <c r="AA209" s="186" t="str">
        <f>IFERROR(VLOOKUP(IFERROR(LEFT(S209,4),""),Ref!$AF$2:$AG$5,2,0),"")</f>
        <v/>
      </c>
      <c r="AB209" s="186"/>
      <c r="AC209" s="218"/>
      <c r="AD209" s="187" t="str">
        <f>IFERROR(VLOOKUP(AC209,'Training Matrix'!B$4:C$24,2,0),"")</f>
        <v/>
      </c>
      <c r="AE209" s="218"/>
      <c r="AF209" s="188" t="str">
        <f t="shared" si="274"/>
        <v/>
      </c>
      <c r="AG209" s="189" t="str">
        <f t="shared" ca="1" si="275"/>
        <v/>
      </c>
      <c r="AH209" s="50" t="str">
        <f t="shared" ref="AH209" si="285">IF(OR(AC209="",AE209=""),"",CONCATENATE(AC209,"_",K202,"_",L202))</f>
        <v/>
      </c>
    </row>
    <row r="210" spans="1:34" x14ac:dyDescent="0.25">
      <c r="A210" s="5" t="str">
        <f>IF(LEFT(F210,15)='SOP template'!$B$1,1,"")</f>
        <v/>
      </c>
      <c r="B210" s="190" t="str">
        <f t="shared" si="176"/>
        <v>SOP.012.9</v>
      </c>
      <c r="C210" s="190" t="str">
        <f t="shared" si="278"/>
        <v>SOP.012.5</v>
      </c>
      <c r="D210" s="190" t="str">
        <f t="shared" si="279"/>
        <v>SOP.012.3.5</v>
      </c>
      <c r="E210" s="190">
        <f t="shared" si="266"/>
        <v>9</v>
      </c>
      <c r="F210" s="190" t="str">
        <f t="shared" si="177"/>
        <v>ALP.BSP.SOP.012.09</v>
      </c>
      <c r="G210" s="190" t="str">
        <f>IF(ISBLANK(N210),"",CONCATENATE(LEFT(F210,15),".",INDEX(Ref!A:A,MATCH(N210,Ref!$K$1:$K$333,0))))</f>
        <v/>
      </c>
      <c r="H210" s="180"/>
      <c r="I210" s="217"/>
      <c r="J210" s="180"/>
      <c r="K210" s="181"/>
      <c r="L210" s="182"/>
      <c r="M210" s="182"/>
      <c r="N210" s="183"/>
      <c r="O210" s="182"/>
      <c r="P210" s="182"/>
      <c r="Q210" s="184"/>
      <c r="R210" s="184"/>
      <c r="S210" s="185" t="str">
        <f>IFERROR(CLEAN(INDEX('Risk Matrix'!$H$7:$L$11,MATCH($Q210,'Risk Matrix'!$F$7:$F$11,0),MATCH($R210,'Risk Matrix'!$H$6:$L$6,0))),"")</f>
        <v/>
      </c>
      <c r="T210" s="85" t="str">
        <f>IF(LEFT($B210,7)=RIGHT('SOP template'!$B$1,7),_xlfn.NUMBERVALUE(RIGHT($S210,2)),"")</f>
        <v/>
      </c>
      <c r="U210" s="182"/>
      <c r="V210" s="182"/>
      <c r="W210" s="182"/>
      <c r="X210" s="182"/>
      <c r="Y210" s="182"/>
      <c r="Z210" s="182"/>
      <c r="AA210" s="186" t="str">
        <f>IFERROR(VLOOKUP(IFERROR(LEFT(S210,4),""),Ref!$AF$2:$AG$5,2,0),"")</f>
        <v/>
      </c>
      <c r="AB210" s="186"/>
      <c r="AC210" s="218"/>
      <c r="AD210" s="187" t="str">
        <f>IFERROR(VLOOKUP(AC210,'Training Matrix'!B$4:C$24,2,0),"")</f>
        <v/>
      </c>
      <c r="AE210" s="218"/>
      <c r="AF210" s="188" t="str">
        <f t="shared" si="274"/>
        <v/>
      </c>
      <c r="AG210" s="189" t="str">
        <f t="shared" ca="1" si="275"/>
        <v/>
      </c>
      <c r="AH210" s="50" t="str">
        <f t="shared" ref="AH210" si="286">IF(OR(AC210="",AE210=""),"",CONCATENATE(AC210,"_",K202,"_",L202))</f>
        <v/>
      </c>
    </row>
    <row r="211" spans="1:34" x14ac:dyDescent="0.25">
      <c r="A211" s="5" t="str">
        <f>IF(LEFT(F211,15)='SOP template'!$B$1,1,"")</f>
        <v/>
      </c>
      <c r="B211" s="190" t="str">
        <f t="shared" si="176"/>
        <v>SOP.012.10</v>
      </c>
      <c r="C211" s="190" t="str">
        <f t="shared" si="278"/>
        <v>SOP.012.5.4</v>
      </c>
      <c r="D211" s="190" t="str">
        <f t="shared" si="279"/>
        <v>SOP.012.4</v>
      </c>
      <c r="E211" s="190">
        <f t="shared" si="266"/>
        <v>10</v>
      </c>
      <c r="F211" s="190" t="str">
        <f t="shared" si="177"/>
        <v>ALP.BSP.SOP.012.10</v>
      </c>
      <c r="G211" s="190" t="str">
        <f>IF(ISBLANK(N211),"",CONCATENATE(LEFT(F211,15),".",INDEX(Ref!A:A,MATCH(N211,Ref!$K$1:$K$333,0))))</f>
        <v/>
      </c>
      <c r="H211" s="180"/>
      <c r="I211" s="217"/>
      <c r="J211" s="180"/>
      <c r="K211" s="181"/>
      <c r="L211" s="182"/>
      <c r="M211" s="182"/>
      <c r="N211" s="183"/>
      <c r="O211" s="182"/>
      <c r="P211" s="182"/>
      <c r="Q211" s="184"/>
      <c r="R211" s="184"/>
      <c r="S211" s="185" t="str">
        <f>IFERROR(CLEAN(INDEX('Risk Matrix'!$H$7:$L$11,MATCH($Q211,'Risk Matrix'!$F$7:$F$11,0),MATCH($R211,'Risk Matrix'!$H$6:$L$6,0))),"")</f>
        <v/>
      </c>
      <c r="T211" s="85" t="str">
        <f>IF(LEFT($B211,7)=RIGHT('SOP template'!$B$1,7),_xlfn.NUMBERVALUE(RIGHT($S211,2)),"")</f>
        <v/>
      </c>
      <c r="U211" s="182"/>
      <c r="V211" s="182"/>
      <c r="W211" s="182"/>
      <c r="X211" s="182"/>
      <c r="Y211" s="182"/>
      <c r="Z211" s="182"/>
      <c r="AA211" s="186" t="str">
        <f>IFERROR(VLOOKUP(IFERROR(LEFT(S211,4),""),Ref!$AF$2:$AG$5,2,0),"")</f>
        <v/>
      </c>
      <c r="AB211" s="186"/>
      <c r="AC211" s="218"/>
      <c r="AD211" s="187" t="str">
        <f>IFERROR(VLOOKUP(AC211,'Training Matrix'!B$4:C$24,2,0),"")</f>
        <v/>
      </c>
      <c r="AE211" s="218"/>
      <c r="AF211" s="188" t="str">
        <f t="shared" si="274"/>
        <v/>
      </c>
      <c r="AG211" s="189" t="str">
        <f t="shared" ca="1" si="275"/>
        <v/>
      </c>
      <c r="AH211" s="50" t="str">
        <f t="shared" ref="AH211" si="287">IF(OR(AC211="",AE211=""),"",CONCATENATE(AC211,"_",K202,"_",L202))</f>
        <v/>
      </c>
    </row>
    <row r="212" spans="1:34" x14ac:dyDescent="0.25">
      <c r="A212" s="5" t="str">
        <f>IF(LEFT(F212,15)='SOP template'!$B$1,1,"")</f>
        <v/>
      </c>
      <c r="B212" s="190" t="str">
        <f t="shared" ref="B212:B219" si="288">CONCATENATE(LEFT(B211,8),E212)</f>
        <v>SOP.012.11</v>
      </c>
      <c r="C212" s="190" t="str">
        <f t="shared" si="278"/>
        <v>SOP.012.6</v>
      </c>
      <c r="D212" s="190" t="str">
        <f t="shared" si="279"/>
        <v>SOP.012.4.3</v>
      </c>
      <c r="E212" s="190">
        <f t="shared" si="266"/>
        <v>11</v>
      </c>
      <c r="F212" s="190" t="str">
        <f t="shared" ref="F212:F219" si="289">IF(K212=0,LEFT(F211,16)&amp;TEXT(E212,"00"),K212&amp;"."&amp;TEXT(E212,"00"))</f>
        <v>ALP.BSP.SOP.012.11</v>
      </c>
      <c r="G212" s="190" t="str">
        <f>IF(ISBLANK(N212),"",CONCATENATE(LEFT(F212,15),".",INDEX(Ref!A:A,MATCH(N212,Ref!$K$1:$K$333,0))))</f>
        <v/>
      </c>
      <c r="H212" s="180"/>
      <c r="I212" s="217"/>
      <c r="J212" s="180"/>
      <c r="K212" s="181"/>
      <c r="L212" s="182"/>
      <c r="M212" s="182"/>
      <c r="N212" s="183"/>
      <c r="O212" s="182"/>
      <c r="P212" s="182"/>
      <c r="Q212" s="184"/>
      <c r="R212" s="184"/>
      <c r="S212" s="185" t="str">
        <f>IFERROR(CLEAN(INDEX('Risk Matrix'!$H$7:$L$11,MATCH($Q212,'Risk Matrix'!$F$7:$F$11,0),MATCH($R212,'Risk Matrix'!$H$6:$L$6,0))),"")</f>
        <v/>
      </c>
      <c r="T212" s="85" t="str">
        <f>IF(LEFT($B212,7)=RIGHT('SOP template'!$B$1,7),_xlfn.NUMBERVALUE(RIGHT($S212,2)),"")</f>
        <v/>
      </c>
      <c r="U212" s="182"/>
      <c r="V212" s="182"/>
      <c r="W212" s="182"/>
      <c r="X212" s="182"/>
      <c r="Y212" s="182"/>
      <c r="Z212" s="182"/>
      <c r="AA212" s="186" t="str">
        <f>IFERROR(VLOOKUP(IFERROR(LEFT(S212,4),""),Ref!$AF$2:$AG$5,2,0),"")</f>
        <v/>
      </c>
      <c r="AB212" s="186"/>
      <c r="AC212" s="218"/>
      <c r="AD212" s="187" t="str">
        <f>IFERROR(VLOOKUP(AC212,'Training Matrix'!B$4:C$24,2,0),"")</f>
        <v/>
      </c>
      <c r="AE212" s="218"/>
      <c r="AF212" s="188" t="str">
        <f t="shared" si="274"/>
        <v/>
      </c>
      <c r="AG212" s="189" t="str">
        <f t="shared" ca="1" si="275"/>
        <v/>
      </c>
      <c r="AH212" s="50" t="str">
        <f t="shared" ref="AH212" si="290">IF(OR(AC212="",AE212=""),"",CONCATENATE(AC212,"_",K202,"_",L202))</f>
        <v/>
      </c>
    </row>
    <row r="213" spans="1:34" x14ac:dyDescent="0.25">
      <c r="A213" s="5" t="str">
        <f>IF(LEFT(F213,15)='SOP template'!$B$1,1,"")</f>
        <v/>
      </c>
      <c r="B213" s="190" t="str">
        <f t="shared" si="288"/>
        <v>SOP.012.12</v>
      </c>
      <c r="C213" s="190" t="str">
        <f t="shared" si="278"/>
        <v>SOP.012.6.4</v>
      </c>
      <c r="D213" s="190" t="str">
        <f t="shared" si="279"/>
        <v>SOP.012.4.5</v>
      </c>
      <c r="E213" s="190">
        <f t="shared" si="266"/>
        <v>12</v>
      </c>
      <c r="F213" s="190" t="str">
        <f t="shared" si="289"/>
        <v>ALP.BSP.SOP.012.12</v>
      </c>
      <c r="G213" s="190" t="str">
        <f>IF(ISBLANK(N213),"",CONCATENATE(LEFT(F213,15),".",INDEX(Ref!A:A,MATCH(N213,Ref!$K$1:$K$333,0))))</f>
        <v/>
      </c>
      <c r="H213" s="180"/>
      <c r="I213" s="217"/>
      <c r="J213" s="180"/>
      <c r="K213" s="181"/>
      <c r="L213" s="182"/>
      <c r="M213" s="182"/>
      <c r="N213" s="183"/>
      <c r="O213" s="182"/>
      <c r="P213" s="182"/>
      <c r="Q213" s="184"/>
      <c r="R213" s="184"/>
      <c r="S213" s="185" t="str">
        <f>IFERROR(CLEAN(INDEX('Risk Matrix'!$H$7:$L$11,MATCH($Q213,'Risk Matrix'!$F$7:$F$11,0),MATCH($R213,'Risk Matrix'!$H$6:$L$6,0))),"")</f>
        <v/>
      </c>
      <c r="T213" s="85" t="str">
        <f>IF(LEFT($B213,7)=RIGHT('SOP template'!$B$1,7),_xlfn.NUMBERVALUE(RIGHT($S213,2)),"")</f>
        <v/>
      </c>
      <c r="U213" s="182"/>
      <c r="V213" s="182"/>
      <c r="W213" s="182"/>
      <c r="X213" s="182"/>
      <c r="Y213" s="182"/>
      <c r="Z213" s="182"/>
      <c r="AA213" s="186" t="str">
        <f>IFERROR(VLOOKUP(IFERROR(LEFT(S213,4),""),Ref!$AF$2:$AG$5,2,0),"")</f>
        <v/>
      </c>
      <c r="AB213" s="186"/>
      <c r="AC213" s="218"/>
      <c r="AD213" s="187" t="str">
        <f>IFERROR(VLOOKUP(AC213,'Training Matrix'!B$4:C$24,2,0),"")</f>
        <v/>
      </c>
      <c r="AE213" s="218"/>
      <c r="AF213" s="188" t="str">
        <f t="shared" si="274"/>
        <v/>
      </c>
      <c r="AG213" s="189" t="str">
        <f t="shared" ca="1" si="275"/>
        <v/>
      </c>
      <c r="AH213" s="50" t="str">
        <f t="shared" ref="AH213" si="291">IF(OR(AC213="",AE213=""),"",CONCATENATE(AC213,"_",K202,"_",L202))</f>
        <v/>
      </c>
    </row>
    <row r="214" spans="1:34" x14ac:dyDescent="0.25">
      <c r="A214" s="5" t="str">
        <f>IF(LEFT(F214,15)='SOP template'!$B$1,1,"")</f>
        <v/>
      </c>
      <c r="B214" s="190" t="str">
        <f t="shared" si="288"/>
        <v>SOP.012.13</v>
      </c>
      <c r="C214" s="190" t="str">
        <f t="shared" si="278"/>
        <v>SOP.012.</v>
      </c>
      <c r="D214" s="190" t="str">
        <f t="shared" si="279"/>
        <v>SOP.012.</v>
      </c>
      <c r="E214" s="190">
        <f t="shared" si="266"/>
        <v>13</v>
      </c>
      <c r="F214" s="190" t="str">
        <f t="shared" si="289"/>
        <v>ALP.BSP.SOP.012.13</v>
      </c>
      <c r="G214" s="190" t="str">
        <f>IF(ISBLANK(N214),"",CONCATENATE(LEFT(F214,15),".",INDEX(Ref!A:A,MATCH(N214,Ref!$K$1:$K$333,0))))</f>
        <v/>
      </c>
      <c r="H214" s="180"/>
      <c r="I214" s="217"/>
      <c r="J214" s="180"/>
      <c r="K214" s="181"/>
      <c r="L214" s="182"/>
      <c r="M214" s="182"/>
      <c r="N214" s="183"/>
      <c r="O214" s="182"/>
      <c r="P214" s="182"/>
      <c r="Q214" s="184"/>
      <c r="R214" s="184"/>
      <c r="S214" s="185" t="str">
        <f>IFERROR(CLEAN(INDEX('Risk Matrix'!$H$7:$L$11,MATCH($Q214,'Risk Matrix'!$F$7:$F$11,0),MATCH($R214,'Risk Matrix'!$H$6:$L$6,0))),"")</f>
        <v/>
      </c>
      <c r="T214" s="85" t="str">
        <f>IF(LEFT($B214,7)=RIGHT('SOP template'!$B$1,7),_xlfn.NUMBERVALUE(RIGHT($S214,2)),"")</f>
        <v/>
      </c>
      <c r="U214" s="182"/>
      <c r="V214" s="182"/>
      <c r="W214" s="182"/>
      <c r="X214" s="182"/>
      <c r="Y214" s="182"/>
      <c r="Z214" s="182"/>
      <c r="AA214" s="186" t="str">
        <f>IFERROR(VLOOKUP(IFERROR(LEFT(S214,4),""),Ref!$AF$2:$AG$5,2,0),"")</f>
        <v/>
      </c>
      <c r="AB214" s="186"/>
      <c r="AC214" s="218"/>
      <c r="AD214" s="187" t="str">
        <f>IFERROR(VLOOKUP(AC214,'Training Matrix'!B$4:C$24,2,0),"")</f>
        <v/>
      </c>
      <c r="AE214" s="218"/>
      <c r="AF214" s="188" t="str">
        <f t="shared" si="274"/>
        <v/>
      </c>
      <c r="AG214" s="189" t="str">
        <f t="shared" ca="1" si="275"/>
        <v/>
      </c>
      <c r="AH214" s="50" t="str">
        <f t="shared" ref="AH214" si="292">IF(OR(AC214="",AE214=""),"",CONCATENATE(AC214,"_",K202,"_",L202))</f>
        <v/>
      </c>
    </row>
    <row r="215" spans="1:34" x14ac:dyDescent="0.25">
      <c r="A215" s="5" t="str">
        <f>IF(LEFT(F215,15)='SOP template'!$B$1,1,"")</f>
        <v/>
      </c>
      <c r="B215" s="190" t="str">
        <f t="shared" si="288"/>
        <v>SOP.012.14</v>
      </c>
      <c r="C215" s="190" t="str">
        <f t="shared" si="278"/>
        <v>SOP.012.</v>
      </c>
      <c r="D215" s="190" t="str">
        <f t="shared" si="279"/>
        <v>SOP.012.</v>
      </c>
      <c r="E215" s="190">
        <f t="shared" si="266"/>
        <v>14</v>
      </c>
      <c r="F215" s="190" t="str">
        <f t="shared" si="289"/>
        <v>ALP.BSP.SOP.012.14</v>
      </c>
      <c r="G215" s="190" t="str">
        <f>IF(ISBLANK(N215),"",CONCATENATE(LEFT(F215,15),".",INDEX(Ref!A:A,MATCH(N215,Ref!$K$1:$K$333,0))))</f>
        <v/>
      </c>
      <c r="H215" s="180"/>
      <c r="I215" s="217"/>
      <c r="J215" s="180"/>
      <c r="K215" s="181"/>
      <c r="L215" s="182"/>
      <c r="M215" s="182"/>
      <c r="N215" s="183"/>
      <c r="O215" s="182"/>
      <c r="P215" s="182"/>
      <c r="Q215" s="184"/>
      <c r="R215" s="184"/>
      <c r="S215" s="185" t="str">
        <f>IFERROR(CLEAN(INDEX('Risk Matrix'!$H$7:$L$11,MATCH($Q215,'Risk Matrix'!$F$7:$F$11,0),MATCH($R215,'Risk Matrix'!$H$6:$L$6,0))),"")</f>
        <v/>
      </c>
      <c r="T215" s="85" t="str">
        <f>IF(LEFT($B215,7)=RIGHT('SOP template'!$B$1,7),_xlfn.NUMBERVALUE(RIGHT($S215,2)),"")</f>
        <v/>
      </c>
      <c r="U215" s="182"/>
      <c r="V215" s="182"/>
      <c r="W215" s="182"/>
      <c r="X215" s="182"/>
      <c r="Y215" s="182"/>
      <c r="Z215" s="182"/>
      <c r="AA215" s="186" t="str">
        <f>IFERROR(VLOOKUP(IFERROR(LEFT(S215,4),""),Ref!$AF$2:$AG$5,2,0),"")</f>
        <v/>
      </c>
      <c r="AB215" s="186"/>
      <c r="AC215" s="218"/>
      <c r="AD215" s="187" t="str">
        <f>IFERROR(VLOOKUP(AC215,'Training Matrix'!B$4:C$24,2,0),"")</f>
        <v/>
      </c>
      <c r="AE215" s="218"/>
      <c r="AF215" s="188" t="str">
        <f t="shared" si="274"/>
        <v/>
      </c>
      <c r="AG215" s="189" t="str">
        <f t="shared" ca="1" si="275"/>
        <v/>
      </c>
      <c r="AH215" s="50" t="str">
        <f t="shared" ref="AH215" si="293">IF(OR(AC215="",AE215=""),"",CONCATENATE(AC215,"_",K202,"_",L202))</f>
        <v/>
      </c>
    </row>
    <row r="216" spans="1:34" x14ac:dyDescent="0.25">
      <c r="A216" s="5" t="str">
        <f>IF(LEFT(F216,15)='SOP template'!$B$1,1,"")</f>
        <v/>
      </c>
      <c r="B216" s="190" t="str">
        <f t="shared" si="288"/>
        <v>SOP.012.15</v>
      </c>
      <c r="C216" s="190" t="str">
        <f t="shared" si="278"/>
        <v>SOP.012.</v>
      </c>
      <c r="D216" s="190" t="str">
        <f t="shared" si="279"/>
        <v>SOP.012.</v>
      </c>
      <c r="E216" s="190">
        <f t="shared" si="266"/>
        <v>15</v>
      </c>
      <c r="F216" s="190" t="str">
        <f t="shared" si="289"/>
        <v>ALP.BSP.SOP.012.15</v>
      </c>
      <c r="G216" s="190" t="str">
        <f>IF(ISBLANK(N216),"",CONCATENATE(LEFT(F216,15),".",INDEX(Ref!A:A,MATCH(N216,Ref!$K$1:$K$333,0))))</f>
        <v/>
      </c>
      <c r="H216" s="180"/>
      <c r="I216" s="217"/>
      <c r="J216" s="180"/>
      <c r="K216" s="181"/>
      <c r="L216" s="182"/>
      <c r="M216" s="182"/>
      <c r="N216" s="183"/>
      <c r="O216" s="182"/>
      <c r="P216" s="182"/>
      <c r="Q216" s="184"/>
      <c r="R216" s="184"/>
      <c r="S216" s="185" t="str">
        <f>IFERROR(CLEAN(INDEX('Risk Matrix'!$H$7:$L$11,MATCH($Q216,'Risk Matrix'!$F$7:$F$11,0),MATCH($R216,'Risk Matrix'!$H$6:$L$6,0))),"")</f>
        <v/>
      </c>
      <c r="T216" s="85" t="str">
        <f>IF(LEFT($B216,7)=RIGHT('SOP template'!$B$1,7),_xlfn.NUMBERVALUE(RIGHT($S216,2)),"")</f>
        <v/>
      </c>
      <c r="U216" s="182"/>
      <c r="V216" s="182"/>
      <c r="W216" s="182"/>
      <c r="X216" s="182"/>
      <c r="Y216" s="182"/>
      <c r="Z216" s="182"/>
      <c r="AA216" s="186" t="str">
        <f>IFERROR(VLOOKUP(IFERROR(LEFT(S216,4),""),Ref!$AF$2:$AG$5,2,0),"")</f>
        <v/>
      </c>
      <c r="AB216" s="186"/>
      <c r="AC216" s="218"/>
      <c r="AD216" s="187" t="str">
        <f>IFERROR(VLOOKUP(AC216,'Training Matrix'!B$4:C$24,2,0),"")</f>
        <v/>
      </c>
      <c r="AE216" s="218"/>
      <c r="AF216" s="188" t="str">
        <f t="shared" si="274"/>
        <v/>
      </c>
      <c r="AG216" s="189" t="str">
        <f t="shared" ca="1" si="275"/>
        <v/>
      </c>
      <c r="AH216" s="50" t="str">
        <f t="shared" ref="AH216" si="294">IF(OR(AC216="",AE216=""),"",CONCATENATE(AC216,"_",K202,"_",L202))</f>
        <v/>
      </c>
    </row>
    <row r="217" spans="1:34" x14ac:dyDescent="0.25">
      <c r="A217" s="5" t="str">
        <f>IF(LEFT(F217,15)='SOP template'!$B$1,1,"")</f>
        <v/>
      </c>
      <c r="B217" s="190" t="str">
        <f t="shared" si="288"/>
        <v>SOP.012.16</v>
      </c>
      <c r="C217" s="190" t="str">
        <f t="shared" si="278"/>
        <v>SOP.012.</v>
      </c>
      <c r="D217" s="190" t="str">
        <f t="shared" si="279"/>
        <v>SOP.012.</v>
      </c>
      <c r="E217" s="190">
        <f t="shared" si="266"/>
        <v>16</v>
      </c>
      <c r="F217" s="190" t="str">
        <f t="shared" si="289"/>
        <v>ALP.BSP.SOP.012.16</v>
      </c>
      <c r="G217" s="190" t="str">
        <f>IF(ISBLANK(N217),"",CONCATENATE(LEFT(F217,15),".",INDEX(Ref!A:A,MATCH(N217,Ref!$K$1:$K$333,0))))</f>
        <v/>
      </c>
      <c r="H217" s="180"/>
      <c r="I217" s="217"/>
      <c r="J217" s="180"/>
      <c r="K217" s="181"/>
      <c r="L217" s="182"/>
      <c r="M217" s="182"/>
      <c r="N217" s="183"/>
      <c r="O217" s="182"/>
      <c r="P217" s="182"/>
      <c r="Q217" s="184"/>
      <c r="R217" s="184"/>
      <c r="S217" s="185" t="str">
        <f>IFERROR(CLEAN(INDEX('Risk Matrix'!$H$7:$L$11,MATCH($Q217,'Risk Matrix'!$F$7:$F$11,0),MATCH($R217,'Risk Matrix'!$H$6:$L$6,0))),"")</f>
        <v/>
      </c>
      <c r="T217" s="85" t="str">
        <f>IF(LEFT($B217,7)=RIGHT('SOP template'!$B$1,7),_xlfn.NUMBERVALUE(RIGHT($S217,2)),"")</f>
        <v/>
      </c>
      <c r="U217" s="182"/>
      <c r="V217" s="182"/>
      <c r="W217" s="182"/>
      <c r="X217" s="182"/>
      <c r="Y217" s="182"/>
      <c r="Z217" s="182"/>
      <c r="AA217" s="186" t="str">
        <f>IFERROR(VLOOKUP(IFERROR(LEFT(S217,4),""),Ref!$AF$2:$AG$5,2,0),"")</f>
        <v/>
      </c>
      <c r="AB217" s="186"/>
      <c r="AC217" s="218"/>
      <c r="AD217" s="187" t="str">
        <f>IFERROR(VLOOKUP(AC217,'Training Matrix'!B$4:C$24,2,0),"")</f>
        <v/>
      </c>
      <c r="AE217" s="218"/>
      <c r="AF217" s="188" t="str">
        <f t="shared" si="274"/>
        <v/>
      </c>
      <c r="AG217" s="189" t="str">
        <f t="shared" ca="1" si="275"/>
        <v/>
      </c>
      <c r="AH217" s="50" t="str">
        <f t="shared" ref="AH217" si="295">IF(OR(AC217="",AE217=""),"",CONCATENATE(AC217,"_",K202,"_",L202))</f>
        <v/>
      </c>
    </row>
    <row r="218" spans="1:34" x14ac:dyDescent="0.25">
      <c r="A218" s="5" t="str">
        <f>IF(LEFT(F218,15)='SOP template'!$B$1,1,"")</f>
        <v/>
      </c>
      <c r="B218" s="190" t="str">
        <f t="shared" si="288"/>
        <v>SOP.012.17</v>
      </c>
      <c r="C218" s="190" t="str">
        <f t="shared" si="278"/>
        <v>SOP.012.</v>
      </c>
      <c r="D218" s="190" t="str">
        <f t="shared" si="279"/>
        <v>SOP.012.</v>
      </c>
      <c r="E218" s="190">
        <f t="shared" si="266"/>
        <v>17</v>
      </c>
      <c r="F218" s="190" t="str">
        <f t="shared" si="289"/>
        <v>ALP.BSP.SOP.012.17</v>
      </c>
      <c r="G218" s="190" t="str">
        <f>IF(ISBLANK(N218),"",CONCATENATE(LEFT(F218,15),".",INDEX(Ref!A:A,MATCH(N218,Ref!$K$1:$K$333,0))))</f>
        <v/>
      </c>
      <c r="H218" s="180"/>
      <c r="I218" s="217"/>
      <c r="J218" s="180"/>
      <c r="K218" s="181"/>
      <c r="L218" s="182"/>
      <c r="M218" s="182"/>
      <c r="N218" s="183"/>
      <c r="O218" s="182"/>
      <c r="P218" s="182"/>
      <c r="Q218" s="184"/>
      <c r="R218" s="184"/>
      <c r="S218" s="185" t="str">
        <f>IFERROR(CLEAN(INDEX('Risk Matrix'!$H$7:$L$11,MATCH($Q218,'Risk Matrix'!$F$7:$F$11,0),MATCH($R218,'Risk Matrix'!$H$6:$L$6,0))),"")</f>
        <v/>
      </c>
      <c r="T218" s="85" t="str">
        <f>IF(LEFT($B218,7)=RIGHT('SOP template'!$B$1,7),_xlfn.NUMBERVALUE(RIGHT($S218,2)),"")</f>
        <v/>
      </c>
      <c r="U218" s="182"/>
      <c r="V218" s="182"/>
      <c r="W218" s="182"/>
      <c r="X218" s="182"/>
      <c r="Y218" s="182"/>
      <c r="Z218" s="182"/>
      <c r="AA218" s="186" t="str">
        <f>IFERROR(VLOOKUP(IFERROR(LEFT(S218,4),""),Ref!$AF$2:$AG$5,2,0),"")</f>
        <v/>
      </c>
      <c r="AB218" s="186"/>
      <c r="AC218" s="218"/>
      <c r="AD218" s="187" t="str">
        <f>IFERROR(VLOOKUP(AC218,'Training Matrix'!B$4:C$24,2,0),"")</f>
        <v/>
      </c>
      <c r="AE218" s="218"/>
      <c r="AF218" s="188" t="str">
        <f t="shared" si="274"/>
        <v/>
      </c>
      <c r="AG218" s="189" t="str">
        <f t="shared" ca="1" si="275"/>
        <v/>
      </c>
      <c r="AH218" s="50" t="str">
        <f t="shared" ref="AH218" si="296">IF(OR(AC218="",AE218=""),"",CONCATENATE(AC218,"_",K202,"_",L202))</f>
        <v/>
      </c>
    </row>
    <row r="219" spans="1:34" x14ac:dyDescent="0.25">
      <c r="A219" s="5" t="str">
        <f>IF(LEFT(F219,15)='SOP template'!$B$1,1,"")</f>
        <v/>
      </c>
      <c r="B219" s="190" t="str">
        <f t="shared" si="288"/>
        <v>SOP.012.18</v>
      </c>
      <c r="C219" s="190" t="str">
        <f t="shared" si="278"/>
        <v>SOP.012.</v>
      </c>
      <c r="D219" s="190" t="str">
        <f t="shared" si="279"/>
        <v>SOP.012.</v>
      </c>
      <c r="E219" s="190">
        <f t="shared" si="266"/>
        <v>18</v>
      </c>
      <c r="F219" s="190" t="str">
        <f t="shared" si="289"/>
        <v>ALP.BSP.SOP.012.18</v>
      </c>
      <c r="G219" s="190" t="str">
        <f>IF(ISBLANK(N219),"",CONCATENATE(LEFT(F219,15),".",INDEX(Ref!A:A,MATCH(N219,Ref!$K$1:$K$333,0))))</f>
        <v/>
      </c>
      <c r="H219" s="180"/>
      <c r="I219" s="217"/>
      <c r="J219" s="180"/>
      <c r="K219" s="181"/>
      <c r="L219" s="182"/>
      <c r="M219" s="182"/>
      <c r="N219" s="183"/>
      <c r="O219" s="182"/>
      <c r="P219" s="182"/>
      <c r="Q219" s="184"/>
      <c r="R219" s="184"/>
      <c r="S219" s="185" t="str">
        <f>IFERROR(CLEAN(INDEX('Risk Matrix'!$H$7:$L$11,MATCH($Q219,'Risk Matrix'!$F$7:$F$11,0),MATCH($R219,'Risk Matrix'!$H$6:$L$6,0))),"")</f>
        <v/>
      </c>
      <c r="T219" s="85" t="str">
        <f>IF(LEFT($B219,7)=RIGHT('SOP template'!$B$1,7),_xlfn.NUMBERVALUE(RIGHT($S219,2)),"")</f>
        <v/>
      </c>
      <c r="U219" s="182"/>
      <c r="V219" s="182"/>
      <c r="W219" s="182"/>
      <c r="X219" s="182"/>
      <c r="Y219" s="182"/>
      <c r="Z219" s="182"/>
      <c r="AA219" s="186" t="str">
        <f>IFERROR(VLOOKUP(IFERROR(LEFT(S219,4),""),Ref!$AF$2:$AG$5,2,0),"")</f>
        <v/>
      </c>
      <c r="AB219" s="186"/>
      <c r="AC219" s="218"/>
      <c r="AD219" s="187" t="str">
        <f>IFERROR(VLOOKUP(AC219,'Training Matrix'!B$4:C$24,2,0),"")</f>
        <v/>
      </c>
      <c r="AE219" s="218"/>
      <c r="AF219" s="188" t="str">
        <f t="shared" si="274"/>
        <v/>
      </c>
      <c r="AG219" s="189" t="str">
        <f t="shared" ca="1" si="275"/>
        <v/>
      </c>
      <c r="AH219" s="50" t="str">
        <f t="shared" ref="AH219" si="297">IF(OR(AC219="",AE219=""),"",CONCATENATE(AC219,"_",K202,"_",L202))</f>
        <v/>
      </c>
    </row>
    <row r="220" spans="1:34" ht="45" x14ac:dyDescent="0.25">
      <c r="A220" s="5" t="str">
        <f>IF(LEFT(F220,15)='SOP template'!$B$1,1,"")</f>
        <v/>
      </c>
      <c r="B220" s="179" t="str">
        <f t="shared" ref="B220" si="298">IF(ISBLANK($K220),CONCATENATE($B$2,".",TEXT(J220,"000"),".",$E220),CONCATENATE(RIGHT($K220,7),".1"))</f>
        <v>SOP.013.1</v>
      </c>
      <c r="C220" s="179" t="str">
        <f>IF(ISBLANK($K220),CONCATENATE(LEFT($B130,8),IF($E220=1,1.1,IF($E220=2,1.4,IF($E220=3,2,IF($E220=4,2.4,IF($E220=5,3,IF($E220=6,3.4,IF($E220=7,4,IF($E220=8,4.4,IF($E220=9,5,IF($E220=10,5.4,IF($E220=11,6,IF($E220=12,6.4,""))))))))))))),CONCATENATE(RIGHT($K220,7),".1"))</f>
        <v>SOP.013.1</v>
      </c>
      <c r="D220" s="179" t="str">
        <f>IF(ISBLANK($K220),CONCATENATE(LEFT($B130,8),IF($E220=1,1,IF($E220=2,1.3,IF($E220=3,1.5,IF($E220=4,2,IF($E220=5,2.3,IF($E220=6,2.5,IF($E220=7,3,IF($E220=8,3.3,IF($E220=9,3.5,IF($E220=10,4,IF($E220=11,4.3,IF($E220=12,4.5,""))))))))))))),CONCATENATE(RIGHT($K220,7),".1"))</f>
        <v>SOP.013.1</v>
      </c>
      <c r="E220" s="179">
        <f t="shared" si="266"/>
        <v>1</v>
      </c>
      <c r="F220" s="179" t="str">
        <f t="shared" ref="F220" si="299">K220&amp;"."&amp;TEXT(E220,"00")</f>
        <v>ALP.BSP.SOP.013.01</v>
      </c>
      <c r="G220" s="179" t="str">
        <f>IF(ISBLANK(N220),"",CONCATENATE(LEFT(F220,15),".",INDEX(Ref!A:A,MATCH(N220,Ref!$K$1:$K$333,0))))</f>
        <v>ALP.BSP.SOP.013.1</v>
      </c>
      <c r="H220" s="217" t="s">
        <v>394</v>
      </c>
      <c r="I220" s="217" t="s">
        <v>275</v>
      </c>
      <c r="J220" s="180">
        <v>13</v>
      </c>
      <c r="K220" s="181" t="str">
        <f>IFERROR(CONCATENATE(INDEX(Ref!$Z$2:$Z$8,MATCH(H220,Ref!$AA$2:$AA$8,0)),".",I220,".SOP.",TEXT(J220,"000")),CONCATENATE(H220,".",I220,".SOP.",TEXT(J220,"000")))</f>
        <v>ALP.BSP.SOP.013</v>
      </c>
      <c r="L220" s="191" t="s">
        <v>970</v>
      </c>
      <c r="M220" s="182" t="s">
        <v>971</v>
      </c>
      <c r="N220" s="183" t="s">
        <v>117</v>
      </c>
      <c r="O220" s="182" t="s">
        <v>411</v>
      </c>
      <c r="P220" s="182" t="s">
        <v>972</v>
      </c>
      <c r="Q220" s="184" t="s">
        <v>89</v>
      </c>
      <c r="R220" s="184" t="s">
        <v>90</v>
      </c>
      <c r="S220" s="185" t="str">
        <f>IFERROR(CLEAN(INDEX('Risk Matrix'!$H$7:$L$11,MATCH($Q220,'Risk Matrix'!$F$7:$F$11,0),MATCH($R220,'Risk Matrix'!$H$6:$L$6,0))),"")</f>
        <v>Medium 2</v>
      </c>
      <c r="T220" s="85" t="str">
        <f>IF(LEFT($B220,7)=RIGHT('SOP template'!$B$1,7),_xlfn.NUMBERVALUE(RIGHT($S220,2)),"")</f>
        <v/>
      </c>
      <c r="U220" s="182" t="s">
        <v>645</v>
      </c>
      <c r="V220" s="182" t="s">
        <v>765</v>
      </c>
      <c r="W220" s="182" t="s">
        <v>766</v>
      </c>
      <c r="X220" s="182" t="s">
        <v>767</v>
      </c>
      <c r="Y220" s="182" t="s">
        <v>768</v>
      </c>
      <c r="Z220" s="182" t="s">
        <v>769</v>
      </c>
      <c r="AA220" s="186">
        <f>IFERROR(VLOOKUP(IFERROR(LEFT(S220,4),""),Ref!$AF$2:$AG$5,2,0),"")</f>
        <v>24</v>
      </c>
      <c r="AB220" s="186">
        <f>MIN($AA$220:$AA$237)</f>
        <v>24</v>
      </c>
      <c r="AC220" s="218" t="s">
        <v>289</v>
      </c>
      <c r="AD220" s="187" t="str">
        <f>IFERROR(VLOOKUP(AC220,'Training Matrix'!B$4:C$24,2,0),"")</f>
        <v>Dock Manager</v>
      </c>
      <c r="AE220" s="221">
        <v>45792</v>
      </c>
      <c r="AF220" s="188">
        <f>IF(AE220="","",EDATE(AE220,AB$4))</f>
        <v>46522</v>
      </c>
      <c r="AG220" s="189" t="str">
        <f ca="1">IF(AE220="","",IF(TODAY()&gt;AF220,"Overdue","Current"))</f>
        <v>Current</v>
      </c>
      <c r="AH220" s="50" t="str">
        <f>IF(OR(AC220="",AE220=""),"",CONCATENATE(AC220,"_",K220,"_",L220))</f>
        <v>Person 1_ALP.BSP.SOP.013_Necropsy table</v>
      </c>
    </row>
    <row r="221" spans="1:34" ht="30" x14ac:dyDescent="0.25">
      <c r="A221" s="5" t="str">
        <f>IF(LEFT(F221,15)='SOP template'!$B$1,1,"")</f>
        <v/>
      </c>
      <c r="B221" s="190" t="str">
        <f t="shared" ref="B221" si="300">CONCATENATE(LEFT(B220,8),E221)</f>
        <v>SOP.013.2</v>
      </c>
      <c r="C221" s="190" t="str">
        <f>IF(ISBLANK($K221),CONCATENATE(LEFT($B220,8),IF($E221=1,1.1,IF($E221=2,1.4,IF($E221=3,2,IF($E221=4,2.4,IF($E221=5,3,IF($E221=6,3.4,IF($E221=7,4,IF($E221=8,4.4,IF($E221=9,5,IF($E221=10,5.4,IF($E221=11,6,IF($E221=12,6.4,""))))))))))))),CONCATENATE(RIGHT($K221,7),".1"))</f>
        <v>SOP.013.1.4</v>
      </c>
      <c r="D221" s="190" t="str">
        <f>IF(ISBLANK($K221),CONCATENATE(LEFT($B220,8),IF($E221=1,1,IF($E221=2,1.3,IF($E221=3,1.5,IF($E221=4,2,IF($E221=5,2.3,IF($E221=6,2.5,IF($E221=7,3,IF($E221=8,3.3,IF($E221=9,3.5,IF($E221=10,4,IF($E221=11,4.3,IF($E221=12,4.5,""))))))))))))),CONCATENATE(RIGHT($K221,7),".1"))</f>
        <v>SOP.013.1.3</v>
      </c>
      <c r="E221" s="190">
        <f t="shared" si="266"/>
        <v>2</v>
      </c>
      <c r="F221" s="190" t="str">
        <f t="shared" ref="F221" si="301">IF(K221=0,LEFT(F220,16)&amp;TEXT(E221,"00"),K221&amp;"."&amp;TEXT(E221,"00"))</f>
        <v>ALP.BSP.SOP.013.02</v>
      </c>
      <c r="G221" s="190" t="str">
        <f>IF(ISBLANK(N221),"",CONCATENATE(LEFT(F221,15),".",INDEX(Ref!A:A,MATCH(N221,Ref!$K$1:$K$333,0))))</f>
        <v>ALP.BSP.SOP.013.2</v>
      </c>
      <c r="H221" s="180"/>
      <c r="I221" s="217"/>
      <c r="J221" s="180"/>
      <c r="K221" s="181"/>
      <c r="L221" s="182"/>
      <c r="M221" s="182"/>
      <c r="N221" s="183" t="s">
        <v>94</v>
      </c>
      <c r="O221" s="182" t="s">
        <v>498</v>
      </c>
      <c r="P221" s="182" t="s">
        <v>499</v>
      </c>
      <c r="Q221" s="184" t="s">
        <v>92</v>
      </c>
      <c r="R221" s="184" t="s">
        <v>90</v>
      </c>
      <c r="S221" s="185" t="str">
        <f>IFERROR(CLEAN(INDEX('Risk Matrix'!$H$7:$L$11,MATCH($Q221,'Risk Matrix'!$F$7:$F$11,0),MATCH($R221,'Risk Matrix'!$H$6:$L$6,0))),"")</f>
        <v>Medium 2</v>
      </c>
      <c r="T221" s="85" t="str">
        <f>IF(LEFT($B221,7)=RIGHT('SOP template'!$B$1,7),_xlfn.NUMBERVALUE(RIGHT($S221,2)),"")</f>
        <v/>
      </c>
      <c r="U221" s="182" t="s">
        <v>770</v>
      </c>
      <c r="V221" s="182"/>
      <c r="W221" s="182" t="s">
        <v>771</v>
      </c>
      <c r="X221" s="182" t="s">
        <v>772</v>
      </c>
      <c r="Y221" s="182" t="s">
        <v>773</v>
      </c>
      <c r="Z221" s="182"/>
      <c r="AA221" s="186">
        <f>IFERROR(VLOOKUP(IFERROR(LEFT(S221,4),""),Ref!$AF$2:$AG$5,2,0),"")</f>
        <v>24</v>
      </c>
      <c r="AB221" s="186"/>
      <c r="AC221" s="218" t="s">
        <v>290</v>
      </c>
      <c r="AD221" s="187" t="str">
        <f>IFERROR(VLOOKUP(AC221,'Training Matrix'!B$4:C$24,2,0),"")</f>
        <v>WHS Team member</v>
      </c>
      <c r="AE221" s="221">
        <v>45792</v>
      </c>
      <c r="AF221" s="188">
        <f>IF(AE221="","",EDATE(AE221,AB$4))</f>
        <v>46522</v>
      </c>
      <c r="AG221" s="189" t="str">
        <f ca="1">IF(AE221="","",IF(TODAY()&gt;AF221,"Overdue","Current"))</f>
        <v>Current</v>
      </c>
      <c r="AH221" s="50" t="str">
        <f>IF(OR(AC221="",AE221=""),"",CONCATENATE(AC221,"_",K220,"_",L220))</f>
        <v>Person 2_ALP.BSP.SOP.013_Necropsy table</v>
      </c>
    </row>
    <row r="222" spans="1:34" ht="45" x14ac:dyDescent="0.25">
      <c r="A222" s="5" t="str">
        <f>IF(LEFT(F222,15)='SOP template'!$B$1,1,"")</f>
        <v/>
      </c>
      <c r="B222" s="190" t="str">
        <f t="shared" si="176"/>
        <v>SOP.013.3</v>
      </c>
      <c r="C222" s="190" t="str">
        <f t="shared" ref="C222:C237" si="302">IF(ISBLANK($K222),CONCATENATE(LEFT($B221,8),IF($E222=1,1.1,IF($E222=2,1.4,IF($E222=3,2,IF($E222=4,2.4,IF($E222=5,3,IF($E222=6,3.4,IF($E222=7,4,IF($E222=8,4.4,IF($E222=9,5,IF($E222=10,5.4,IF($E222=11,6,IF($E222=12,6.4,""))))))))))))),CONCATENATE(RIGHT($K222,7),".1"))</f>
        <v>SOP.013.2</v>
      </c>
      <c r="D222" s="190" t="str">
        <f t="shared" ref="D222:D237" si="303">IF(ISBLANK($K222),CONCATENATE(LEFT($B221,8),IF($E222=1,1,IF($E222=2,1.3,IF($E222=3,1.5,IF($E222=4,2,IF($E222=5,2.3,IF($E222=6,2.5,IF($E222=7,3,IF($E222=8,3.3,IF($E222=9,3.5,IF($E222=10,4,IF($E222=11,4.3,IF($E222=12,4.5,""))))))))))))),CONCATENATE(RIGHT($K222,7),".1"))</f>
        <v>SOP.013.1.5</v>
      </c>
      <c r="E222" s="190">
        <f t="shared" si="266"/>
        <v>3</v>
      </c>
      <c r="F222" s="190" t="str">
        <f t="shared" si="177"/>
        <v>ALP.BSP.SOP.013.03</v>
      </c>
      <c r="G222" s="190" t="str">
        <f>IF(ISBLANK(N222),"",CONCATENATE(LEFT(F222,15),".",INDEX(Ref!A:A,MATCH(N222,Ref!$K$1:$K$333,0))))</f>
        <v>ALP.BSP.SOP.013.7</v>
      </c>
      <c r="H222" s="180"/>
      <c r="I222" s="217"/>
      <c r="J222" s="180"/>
      <c r="K222" s="181"/>
      <c r="L222" s="182"/>
      <c r="M222" s="182"/>
      <c r="N222" s="183" t="s">
        <v>88</v>
      </c>
      <c r="O222" s="182" t="s">
        <v>973</v>
      </c>
      <c r="P222" s="182" t="s">
        <v>418</v>
      </c>
      <c r="Q222" s="184" t="s">
        <v>89</v>
      </c>
      <c r="R222" s="184" t="s">
        <v>91</v>
      </c>
      <c r="S222" s="185" t="str">
        <f>IFERROR(CLEAN(INDEX('Risk Matrix'!$H$7:$L$11,MATCH($Q222,'Risk Matrix'!$F$7:$F$11,0),MATCH($R222,'Risk Matrix'!$H$6:$L$6,0))),"")</f>
        <v>Low 1</v>
      </c>
      <c r="T222" s="85" t="str">
        <f>IF(LEFT($B222,7)=RIGHT('SOP template'!$B$1,7),_xlfn.NUMBERVALUE(RIGHT($S222,2)),"")</f>
        <v/>
      </c>
      <c r="U222" s="182" t="s">
        <v>774</v>
      </c>
      <c r="V222" s="182"/>
      <c r="W222" s="182" t="s">
        <v>775</v>
      </c>
      <c r="X222" s="182" t="s">
        <v>776</v>
      </c>
      <c r="Y222" s="182" t="s">
        <v>777</v>
      </c>
      <c r="Z222" s="182"/>
      <c r="AA222" s="186">
        <f>IFERROR(VLOOKUP(IFERROR(LEFT(S222,4),""),Ref!$AF$2:$AG$5,2,0),"")</f>
        <v>36</v>
      </c>
      <c r="AB222" s="186"/>
      <c r="AC222" s="218" t="s">
        <v>167</v>
      </c>
      <c r="AD222" s="187" t="str">
        <f>IFERROR(VLOOKUP(AC222,'Training Matrix'!B$4:C$24,2,0),"")</f>
        <v>Bioscience Manager</v>
      </c>
      <c r="AE222" s="221">
        <v>45792</v>
      </c>
      <c r="AF222" s="188">
        <f>IF(AE222="","",EDATE(AE222,AB$4))</f>
        <v>46522</v>
      </c>
      <c r="AG222" s="189" t="str">
        <f ca="1">IF(AE222="","",IF(TODAY()&gt;AF222,"Overdue","Current"))</f>
        <v>Current</v>
      </c>
      <c r="AH222" s="50" t="str">
        <f>IF(OR(AC222="",AE222=""),"",CONCATENATE(AC222,"_",K220,"_",L220))</f>
        <v>Person 3_ALP.BSP.SOP.013_Necropsy table</v>
      </c>
    </row>
    <row r="223" spans="1:34" ht="45" x14ac:dyDescent="0.25">
      <c r="A223" s="5" t="str">
        <f>IF(LEFT(F223,15)='SOP template'!$B$1,1,"")</f>
        <v/>
      </c>
      <c r="B223" s="190" t="str">
        <f t="shared" si="176"/>
        <v>SOP.013.4</v>
      </c>
      <c r="C223" s="190" t="str">
        <f t="shared" si="302"/>
        <v>SOP.013.2.4</v>
      </c>
      <c r="D223" s="190" t="str">
        <f t="shared" si="303"/>
        <v>SOP.013.2</v>
      </c>
      <c r="E223" s="190">
        <f t="shared" si="266"/>
        <v>4</v>
      </c>
      <c r="F223" s="190" t="str">
        <f t="shared" si="177"/>
        <v>ALP.BSP.SOP.013.04</v>
      </c>
      <c r="G223" s="190" t="str">
        <f>IF(ISBLANK(N223),"",CONCATENATE(LEFT(F223,15),".",INDEX(Ref!A:A,MATCH(N223,Ref!$K$1:$K$333,0))))</f>
        <v>ALP.BSP.SOP.013.20</v>
      </c>
      <c r="H223" s="180"/>
      <c r="I223" s="217"/>
      <c r="J223" s="180"/>
      <c r="K223" s="181"/>
      <c r="L223" s="182"/>
      <c r="M223" s="182"/>
      <c r="N223" s="183" t="s">
        <v>133</v>
      </c>
      <c r="O223" s="182" t="s">
        <v>548</v>
      </c>
      <c r="P223" s="182" t="s">
        <v>549</v>
      </c>
      <c r="Q223" s="184" t="s">
        <v>89</v>
      </c>
      <c r="R223" s="184" t="s">
        <v>91</v>
      </c>
      <c r="S223" s="185" t="str">
        <f>IFERROR(CLEAN(INDEX('Risk Matrix'!$H$7:$L$11,MATCH($Q223,'Risk Matrix'!$F$7:$F$11,0),MATCH($R223,'Risk Matrix'!$H$6:$L$6,0))),"")</f>
        <v>Low 1</v>
      </c>
      <c r="T223" s="85" t="str">
        <f>IF(LEFT($B223,7)=RIGHT('SOP template'!$B$1,7),_xlfn.NUMBERVALUE(RIGHT($S223,2)),"")</f>
        <v/>
      </c>
      <c r="U223" s="182" t="s">
        <v>663</v>
      </c>
      <c r="V223" s="182"/>
      <c r="W223" s="182" t="s">
        <v>778</v>
      </c>
      <c r="X223" s="182" t="s">
        <v>779</v>
      </c>
      <c r="Y223" s="182" t="s">
        <v>780</v>
      </c>
      <c r="Z223" s="182"/>
      <c r="AA223" s="186">
        <f>IFERROR(VLOOKUP(IFERROR(LEFT(S223,4),""),Ref!$AF$2:$AG$5,2,0),"")</f>
        <v>36</v>
      </c>
      <c r="AB223" s="186"/>
      <c r="AC223" s="218" t="s">
        <v>168</v>
      </c>
      <c r="AD223" s="187" t="str">
        <f>IFERROR(VLOOKUP(AC223,'Training Matrix'!B$4:C$24,2,0),"")</f>
        <v>Collection Manager</v>
      </c>
      <c r="AE223" s="221">
        <v>45792</v>
      </c>
      <c r="AF223" s="188">
        <f>IF(AE223="","",EDATE(AE223,AB$4))</f>
        <v>46522</v>
      </c>
      <c r="AG223" s="189" t="str">
        <f ca="1">IF(AE223="","",IF(TODAY()&gt;AF223,"Overdue","Current"))</f>
        <v>Current</v>
      </c>
      <c r="AH223" s="50" t="str">
        <f>IF(OR(AC223="",AE223=""),"",CONCATENATE(AC223,"_",K220,"_",L220))</f>
        <v>Person 4_ALP.BSP.SOP.013_Necropsy table</v>
      </c>
    </row>
    <row r="224" spans="1:34" ht="30" x14ac:dyDescent="0.25">
      <c r="A224" s="5" t="str">
        <f>IF(LEFT(F224,15)='SOP template'!$B$1,1,"")</f>
        <v/>
      </c>
      <c r="B224" s="190" t="str">
        <f t="shared" si="176"/>
        <v>SOP.013.5</v>
      </c>
      <c r="C224" s="190" t="str">
        <f t="shared" si="302"/>
        <v>SOP.013.3</v>
      </c>
      <c r="D224" s="190" t="str">
        <f t="shared" si="303"/>
        <v>SOP.013.2.3</v>
      </c>
      <c r="E224" s="190">
        <f t="shared" si="266"/>
        <v>5</v>
      </c>
      <c r="F224" s="190" t="str">
        <f t="shared" si="177"/>
        <v>ALP.BSP.SOP.013.05</v>
      </c>
      <c r="G224" s="190" t="str">
        <f>IF(ISBLANK(N224),"",CONCATENATE(LEFT(F224,15),".",INDEX(Ref!A:A,MATCH(N224,Ref!$K$1:$K$333,0))))</f>
        <v>ALP.BSP.SOP.013.11</v>
      </c>
      <c r="H224" s="180"/>
      <c r="I224" s="217"/>
      <c r="J224" s="180"/>
      <c r="K224" s="181"/>
      <c r="L224" s="182"/>
      <c r="M224" s="182"/>
      <c r="N224" s="183" t="s">
        <v>95</v>
      </c>
      <c r="O224" s="182"/>
      <c r="P224" s="182"/>
      <c r="Q224" s="184"/>
      <c r="R224" s="184"/>
      <c r="S224" s="185" t="str">
        <f>IFERROR(CLEAN(INDEX('Risk Matrix'!$H$7:$L$11,MATCH($Q224,'Risk Matrix'!$F$7:$F$11,0),MATCH($R224,'Risk Matrix'!$H$6:$L$6,0))),"")</f>
        <v/>
      </c>
      <c r="T224" s="85" t="str">
        <f>IF(LEFT($B224,7)=RIGHT('SOP template'!$B$1,7),_xlfn.NUMBERVALUE(RIGHT($S224,2)),"")</f>
        <v/>
      </c>
      <c r="U224" s="182"/>
      <c r="V224" s="182"/>
      <c r="W224" s="182" t="s">
        <v>781</v>
      </c>
      <c r="X224" s="182"/>
      <c r="Y224" s="191" t="s">
        <v>782</v>
      </c>
      <c r="Z224" s="182"/>
      <c r="AA224" s="186" t="str">
        <f>IFERROR(VLOOKUP(IFERROR(LEFT(S224,4),""),Ref!$AF$2:$AG$5,2,0),"")</f>
        <v/>
      </c>
      <c r="AB224" s="186"/>
      <c r="AC224" s="218" t="s">
        <v>169</v>
      </c>
      <c r="AD224" s="187" t="str">
        <f>IFERROR(VLOOKUP(AC224,'Training Matrix'!B$4:C$24,2,0),"")</f>
        <v>Technician</v>
      </c>
      <c r="AE224" s="221">
        <v>45792</v>
      </c>
      <c r="AF224" s="188">
        <f>IF(AE224="","",EDATE(AE224,AB$4))</f>
        <v>46522</v>
      </c>
      <c r="AG224" s="189" t="str">
        <f ca="1">IF(AE224="","",IF(TODAY()&gt;AF224,"Overdue","Current"))</f>
        <v>Current</v>
      </c>
      <c r="AH224" s="50" t="str">
        <f>IF(OR(AC224="",AE224=""),"",CONCATENATE(AC224,"_",K220,"_",L220))</f>
        <v>Person 5_ALP.BSP.SOP.013_Necropsy table</v>
      </c>
    </row>
    <row r="225" spans="1:34" x14ac:dyDescent="0.25">
      <c r="A225" s="5" t="str">
        <f>IF(LEFT(F225,15)='SOP template'!$B$1,1,"")</f>
        <v/>
      </c>
      <c r="B225" s="190" t="str">
        <f t="shared" si="176"/>
        <v>SOP.013.6</v>
      </c>
      <c r="C225" s="190" t="str">
        <f t="shared" si="302"/>
        <v>SOP.013.3.4</v>
      </c>
      <c r="D225" s="190" t="str">
        <f t="shared" si="303"/>
        <v>SOP.013.2.5</v>
      </c>
      <c r="E225" s="190">
        <f t="shared" si="266"/>
        <v>6</v>
      </c>
      <c r="F225" s="190" t="str">
        <f t="shared" si="177"/>
        <v>ALP.BSP.SOP.013.06</v>
      </c>
      <c r="G225" s="190" t="str">
        <f>IF(ISBLANK(N225),"",CONCATENATE(LEFT(F225,15),".",INDEX(Ref!A:A,MATCH(N225,Ref!$K$1:$K$333,0))))</f>
        <v/>
      </c>
      <c r="H225" s="180"/>
      <c r="I225" s="217"/>
      <c r="J225" s="180"/>
      <c r="K225" s="181"/>
      <c r="L225" s="182"/>
      <c r="M225" s="182"/>
      <c r="N225" s="183"/>
      <c r="O225" s="182"/>
      <c r="P225" s="182"/>
      <c r="Q225" s="184"/>
      <c r="R225" s="184"/>
      <c r="S225" s="185" t="str">
        <f>IFERROR(CLEAN(INDEX('Risk Matrix'!$H$7:$L$11,MATCH($Q225,'Risk Matrix'!$F$7:$F$11,0),MATCH($R225,'Risk Matrix'!$H$6:$L$6,0))),"")</f>
        <v/>
      </c>
      <c r="T225" s="85" t="str">
        <f>IF(LEFT($B225,7)=RIGHT('SOP template'!$B$1,7),_xlfn.NUMBERVALUE(RIGHT($S225,2)),"")</f>
        <v/>
      </c>
      <c r="U225" s="182"/>
      <c r="V225" s="182"/>
      <c r="W225" s="182" t="s">
        <v>783</v>
      </c>
      <c r="X225" s="182"/>
      <c r="Y225" s="182" t="s">
        <v>784</v>
      </c>
      <c r="Z225" s="182"/>
      <c r="AA225" s="186" t="str">
        <f>IFERROR(VLOOKUP(IFERROR(LEFT(S225,4),""),Ref!$AF$2:$AG$5,2,0),"")</f>
        <v/>
      </c>
      <c r="AB225" s="186"/>
      <c r="AC225" s="218" t="s">
        <v>170</v>
      </c>
      <c r="AD225" s="187" t="str">
        <f>IFERROR(VLOOKUP(AC225,'Training Matrix'!B$4:C$24,2,0),"")</f>
        <v>Scientist</v>
      </c>
      <c r="AE225" s="221">
        <v>45792</v>
      </c>
      <c r="AF225" s="188">
        <f t="shared" si="274"/>
        <v>46522</v>
      </c>
      <c r="AG225" s="189" t="str">
        <f t="shared" ca="1" si="275"/>
        <v>Current</v>
      </c>
      <c r="AH225" s="50" t="str">
        <f t="shared" ref="AH225" si="304">IF(OR(AC225="",AE225=""),"",CONCATENATE(AC225,"_",K220,"_",L220))</f>
        <v>Person 6_ALP.BSP.SOP.013_Necropsy table</v>
      </c>
    </row>
    <row r="226" spans="1:34" ht="45" x14ac:dyDescent="0.25">
      <c r="A226" s="5" t="str">
        <f>IF(LEFT(F226,15)='SOP template'!$B$1,1,"")</f>
        <v/>
      </c>
      <c r="B226" s="190" t="str">
        <f t="shared" si="176"/>
        <v>SOP.013.7</v>
      </c>
      <c r="C226" s="190" t="str">
        <f t="shared" si="302"/>
        <v>SOP.013.4</v>
      </c>
      <c r="D226" s="190" t="str">
        <f t="shared" si="303"/>
        <v>SOP.013.3</v>
      </c>
      <c r="E226" s="190">
        <f t="shared" si="266"/>
        <v>7</v>
      </c>
      <c r="F226" s="190" t="str">
        <f t="shared" si="177"/>
        <v>ALP.BSP.SOP.013.07</v>
      </c>
      <c r="G226" s="190" t="str">
        <f>IF(ISBLANK(N226),"",CONCATENATE(LEFT(F226,15),".",INDEX(Ref!A:A,MATCH(N226,Ref!$K$1:$K$333,0))))</f>
        <v/>
      </c>
      <c r="H226" s="180"/>
      <c r="I226" s="217"/>
      <c r="J226" s="180"/>
      <c r="K226" s="181"/>
      <c r="L226" s="182"/>
      <c r="M226" s="182"/>
      <c r="N226" s="183"/>
      <c r="O226" s="182"/>
      <c r="P226" s="182"/>
      <c r="Q226" s="184"/>
      <c r="R226" s="184"/>
      <c r="S226" s="185" t="str">
        <f>IFERROR(CLEAN(INDEX('Risk Matrix'!$H$7:$L$11,MATCH($Q226,'Risk Matrix'!$F$7:$F$11,0),MATCH($R226,'Risk Matrix'!$H$6:$L$6,0))),"")</f>
        <v/>
      </c>
      <c r="T226" s="85" t="str">
        <f>IF(LEFT($B226,7)=RIGHT('SOP template'!$B$1,7),_xlfn.NUMBERVALUE(RIGHT($S226,2)),"")</f>
        <v/>
      </c>
      <c r="U226" s="182"/>
      <c r="V226" s="182"/>
      <c r="W226" s="182" t="s">
        <v>785</v>
      </c>
      <c r="X226" s="182"/>
      <c r="Y226" s="182" t="s">
        <v>786</v>
      </c>
      <c r="Z226" s="182"/>
      <c r="AA226" s="186" t="str">
        <f>IFERROR(VLOOKUP(IFERROR(LEFT(S226,4),""),Ref!$AF$2:$AG$5,2,0),"")</f>
        <v/>
      </c>
      <c r="AB226" s="186"/>
      <c r="AC226" s="218"/>
      <c r="AD226" s="187" t="str">
        <f>IFERROR(VLOOKUP(AC226,'Training Matrix'!B$4:C$24,2,0),"")</f>
        <v/>
      </c>
      <c r="AE226" s="221"/>
      <c r="AF226" s="188" t="str">
        <f t="shared" si="274"/>
        <v/>
      </c>
      <c r="AG226" s="189" t="str">
        <f t="shared" ca="1" si="275"/>
        <v/>
      </c>
      <c r="AH226" s="50" t="str">
        <f t="shared" ref="AH226" si="305">IF(OR(AC226="",AE226=""),"",CONCATENATE(AC226,"_",K220,"_",L220))</f>
        <v/>
      </c>
    </row>
    <row r="227" spans="1:34" ht="30" x14ac:dyDescent="0.25">
      <c r="A227" s="5" t="str">
        <f>IF(LEFT(F227,15)='SOP template'!$B$1,1,"")</f>
        <v/>
      </c>
      <c r="B227" s="190" t="str">
        <f t="shared" si="176"/>
        <v>SOP.013.8</v>
      </c>
      <c r="C227" s="190" t="str">
        <f t="shared" si="302"/>
        <v>SOP.013.4.4</v>
      </c>
      <c r="D227" s="190" t="str">
        <f t="shared" si="303"/>
        <v>SOP.013.3.3</v>
      </c>
      <c r="E227" s="190">
        <f t="shared" si="266"/>
        <v>8</v>
      </c>
      <c r="F227" s="190" t="str">
        <f t="shared" si="177"/>
        <v>ALP.BSP.SOP.013.08</v>
      </c>
      <c r="G227" s="190" t="str">
        <f>IF(ISBLANK(N227),"",CONCATENATE(LEFT(F227,15),".",INDEX(Ref!A:A,MATCH(N227,Ref!$K$1:$K$333,0))))</f>
        <v/>
      </c>
      <c r="H227" s="180"/>
      <c r="I227" s="217"/>
      <c r="J227" s="180"/>
      <c r="K227" s="181"/>
      <c r="L227" s="182"/>
      <c r="M227" s="182"/>
      <c r="N227" s="183"/>
      <c r="O227" s="182"/>
      <c r="P227" s="182"/>
      <c r="Q227" s="184"/>
      <c r="R227" s="184"/>
      <c r="S227" s="185" t="str">
        <f>IFERROR(CLEAN(INDEX('Risk Matrix'!$H$7:$L$11,MATCH($Q227,'Risk Matrix'!$F$7:$F$11,0),MATCH($R227,'Risk Matrix'!$H$6:$L$6,0))),"")</f>
        <v/>
      </c>
      <c r="T227" s="85" t="str">
        <f>IF(LEFT($B227,7)=RIGHT('SOP template'!$B$1,7),_xlfn.NUMBERVALUE(RIGHT($S227,2)),"")</f>
        <v/>
      </c>
      <c r="U227" s="182"/>
      <c r="V227" s="182"/>
      <c r="W227" s="182" t="s">
        <v>787</v>
      </c>
      <c r="X227" s="182"/>
      <c r="Y227" s="182" t="s">
        <v>788</v>
      </c>
      <c r="Z227" s="182"/>
      <c r="AA227" s="186" t="str">
        <f>IFERROR(VLOOKUP(IFERROR(LEFT(S227,4),""),Ref!$AF$2:$AG$5,2,0),"")</f>
        <v/>
      </c>
      <c r="AB227" s="186"/>
      <c r="AC227" s="218"/>
      <c r="AD227" s="187" t="str">
        <f>IFERROR(VLOOKUP(AC227,'Training Matrix'!B$4:C$24,2,0),"")</f>
        <v/>
      </c>
      <c r="AE227" s="218"/>
      <c r="AF227" s="188" t="str">
        <f t="shared" si="274"/>
        <v/>
      </c>
      <c r="AG227" s="189" t="str">
        <f t="shared" ca="1" si="275"/>
        <v/>
      </c>
      <c r="AH227" s="50" t="str">
        <f t="shared" ref="AH227" si="306">IF(OR(AC227="",AE227=""),"",CONCATENATE(AC227,"_",K220,"_",L220))</f>
        <v/>
      </c>
    </row>
    <row r="228" spans="1:34" ht="45" x14ac:dyDescent="0.25">
      <c r="A228" s="5" t="str">
        <f>IF(LEFT(F228,15)='SOP template'!$B$1,1,"")</f>
        <v/>
      </c>
      <c r="B228" s="190" t="str">
        <f t="shared" si="176"/>
        <v>SOP.013.9</v>
      </c>
      <c r="C228" s="190" t="str">
        <f t="shared" si="302"/>
        <v>SOP.013.5</v>
      </c>
      <c r="D228" s="190" t="str">
        <f t="shared" si="303"/>
        <v>SOP.013.3.5</v>
      </c>
      <c r="E228" s="190">
        <f t="shared" si="266"/>
        <v>9</v>
      </c>
      <c r="F228" s="190" t="str">
        <f t="shared" si="177"/>
        <v>ALP.BSP.SOP.013.09</v>
      </c>
      <c r="G228" s="190" t="str">
        <f>IF(ISBLANK(N228),"",CONCATENATE(LEFT(F228,15),".",INDEX(Ref!A:A,MATCH(N228,Ref!$K$1:$K$333,0))))</f>
        <v/>
      </c>
      <c r="H228" s="180"/>
      <c r="I228" s="217"/>
      <c r="J228" s="180"/>
      <c r="K228" s="181"/>
      <c r="L228" s="182"/>
      <c r="M228" s="182"/>
      <c r="N228" s="183"/>
      <c r="O228" s="182"/>
      <c r="P228" s="182"/>
      <c r="Q228" s="184"/>
      <c r="R228" s="184"/>
      <c r="S228" s="185" t="str">
        <f>IFERROR(CLEAN(INDEX('Risk Matrix'!$H$7:$L$11,MATCH($Q228,'Risk Matrix'!$F$7:$F$11,0),MATCH($R228,'Risk Matrix'!$H$6:$L$6,0))),"")</f>
        <v/>
      </c>
      <c r="T228" s="85" t="str">
        <f>IF(LEFT($B228,7)=RIGHT('SOP template'!$B$1,7),_xlfn.NUMBERVALUE(RIGHT($S228,2)),"")</f>
        <v/>
      </c>
      <c r="U228" s="182"/>
      <c r="V228" s="182"/>
      <c r="W228" s="182" t="s">
        <v>789</v>
      </c>
      <c r="X228" s="182"/>
      <c r="Y228" s="182" t="s">
        <v>790</v>
      </c>
      <c r="Z228" s="182"/>
      <c r="AA228" s="186" t="str">
        <f>IFERROR(VLOOKUP(IFERROR(LEFT(S228,4),""),Ref!$AF$2:$AG$5,2,0),"")</f>
        <v/>
      </c>
      <c r="AB228" s="186"/>
      <c r="AC228" s="218"/>
      <c r="AD228" s="187" t="str">
        <f>IFERROR(VLOOKUP(AC228,'Training Matrix'!B$4:C$24,2,0),"")</f>
        <v/>
      </c>
      <c r="AE228" s="218"/>
      <c r="AF228" s="188" t="str">
        <f t="shared" si="274"/>
        <v/>
      </c>
      <c r="AG228" s="189" t="str">
        <f t="shared" ca="1" si="275"/>
        <v/>
      </c>
      <c r="AH228" s="50" t="str">
        <f t="shared" ref="AH228" si="307">IF(OR(AC228="",AE228=""),"",CONCATENATE(AC228,"_",K220,"_",L220))</f>
        <v/>
      </c>
    </row>
    <row r="229" spans="1:34" x14ac:dyDescent="0.25">
      <c r="A229" s="5" t="str">
        <f>IF(LEFT(F229,15)='SOP template'!$B$1,1,"")</f>
        <v/>
      </c>
      <c r="B229" s="190" t="str">
        <f t="shared" si="176"/>
        <v>SOP.013.10</v>
      </c>
      <c r="C229" s="190" t="str">
        <f t="shared" si="302"/>
        <v>SOP.013.5.4</v>
      </c>
      <c r="D229" s="190" t="str">
        <f t="shared" si="303"/>
        <v>SOP.013.4</v>
      </c>
      <c r="E229" s="190">
        <f t="shared" si="266"/>
        <v>10</v>
      </c>
      <c r="F229" s="190" t="str">
        <f t="shared" si="177"/>
        <v>ALP.BSP.SOP.013.10</v>
      </c>
      <c r="G229" s="190" t="str">
        <f>IF(ISBLANK(N229),"",CONCATENATE(LEFT(F229,15),".",INDEX(Ref!A:A,MATCH(N229,Ref!$K$1:$K$333,0))))</f>
        <v/>
      </c>
      <c r="H229" s="180"/>
      <c r="I229" s="217"/>
      <c r="J229" s="180"/>
      <c r="K229" s="181"/>
      <c r="L229" s="182"/>
      <c r="M229" s="182"/>
      <c r="N229" s="183"/>
      <c r="O229" s="182"/>
      <c r="P229" s="182"/>
      <c r="Q229" s="184"/>
      <c r="R229" s="184"/>
      <c r="S229" s="185" t="str">
        <f>IFERROR(CLEAN(INDEX('Risk Matrix'!$H$7:$L$11,MATCH($Q229,'Risk Matrix'!$F$7:$F$11,0),MATCH($R229,'Risk Matrix'!$H$6:$L$6,0))),"")</f>
        <v/>
      </c>
      <c r="T229" s="85" t="str">
        <f>IF(LEFT($B229,7)=RIGHT('SOP template'!$B$1,7),_xlfn.NUMBERVALUE(RIGHT($S229,2)),"")</f>
        <v/>
      </c>
      <c r="U229" s="182"/>
      <c r="V229" s="182"/>
      <c r="W229" s="182"/>
      <c r="X229" s="182"/>
      <c r="Y229" s="182"/>
      <c r="Z229" s="182"/>
      <c r="AA229" s="186" t="str">
        <f>IFERROR(VLOOKUP(IFERROR(LEFT(S229,4),""),Ref!$AF$2:$AG$5,2,0),"")</f>
        <v/>
      </c>
      <c r="AB229" s="186"/>
      <c r="AC229" s="218"/>
      <c r="AD229" s="187" t="str">
        <f>IFERROR(VLOOKUP(AC229,'Training Matrix'!B$4:C$24,2,0),"")</f>
        <v/>
      </c>
      <c r="AE229" s="218"/>
      <c r="AF229" s="188" t="str">
        <f t="shared" si="274"/>
        <v/>
      </c>
      <c r="AG229" s="189" t="str">
        <f t="shared" ca="1" si="275"/>
        <v/>
      </c>
      <c r="AH229" s="50" t="str">
        <f t="shared" ref="AH229" si="308">IF(OR(AC229="",AE229=""),"",CONCATENATE(AC229,"_",K220,"_",L220))</f>
        <v/>
      </c>
    </row>
    <row r="230" spans="1:34" x14ac:dyDescent="0.25">
      <c r="A230" s="5" t="str">
        <f>IF(LEFT(F230,15)='SOP template'!$B$1,1,"")</f>
        <v/>
      </c>
      <c r="B230" s="190" t="str">
        <f t="shared" ref="B230:B237" si="309">CONCATENATE(LEFT(B229,8),E230)</f>
        <v>SOP.013.11</v>
      </c>
      <c r="C230" s="190" t="str">
        <f t="shared" si="302"/>
        <v>SOP.013.6</v>
      </c>
      <c r="D230" s="190" t="str">
        <f t="shared" si="303"/>
        <v>SOP.013.4.3</v>
      </c>
      <c r="E230" s="190">
        <f t="shared" si="266"/>
        <v>11</v>
      </c>
      <c r="F230" s="190" t="str">
        <f t="shared" ref="F230:F237" si="310">IF(K230=0,LEFT(F229,16)&amp;TEXT(E230,"00"),K230&amp;"."&amp;TEXT(E230,"00"))</f>
        <v>ALP.BSP.SOP.013.11</v>
      </c>
      <c r="G230" s="190" t="str">
        <f>IF(ISBLANK(N230),"",CONCATENATE(LEFT(F230,15),".",INDEX(Ref!A:A,MATCH(N230,Ref!$K$1:$K$333,0))))</f>
        <v/>
      </c>
      <c r="H230" s="180"/>
      <c r="I230" s="217"/>
      <c r="J230" s="180"/>
      <c r="K230" s="181"/>
      <c r="L230" s="182"/>
      <c r="M230" s="182"/>
      <c r="N230" s="183"/>
      <c r="O230" s="182"/>
      <c r="P230" s="182"/>
      <c r="Q230" s="184"/>
      <c r="R230" s="184"/>
      <c r="S230" s="185" t="str">
        <f>IFERROR(CLEAN(INDEX('Risk Matrix'!$H$7:$L$11,MATCH($Q230,'Risk Matrix'!$F$7:$F$11,0),MATCH($R230,'Risk Matrix'!$H$6:$L$6,0))),"")</f>
        <v/>
      </c>
      <c r="T230" s="85" t="str">
        <f>IF(LEFT($B230,7)=RIGHT('SOP template'!$B$1,7),_xlfn.NUMBERVALUE(RIGHT($S230,2)),"")</f>
        <v/>
      </c>
      <c r="U230" s="182"/>
      <c r="V230" s="182"/>
      <c r="W230" s="182"/>
      <c r="X230" s="182"/>
      <c r="Y230" s="182"/>
      <c r="Z230" s="182"/>
      <c r="AA230" s="186" t="str">
        <f>IFERROR(VLOOKUP(IFERROR(LEFT(S230,4),""),Ref!$AF$2:$AG$5,2,0),"")</f>
        <v/>
      </c>
      <c r="AB230" s="186"/>
      <c r="AC230" s="218"/>
      <c r="AD230" s="187" t="str">
        <f>IFERROR(VLOOKUP(AC230,'Training Matrix'!B$4:C$24,2,0),"")</f>
        <v/>
      </c>
      <c r="AE230" s="218"/>
      <c r="AF230" s="188" t="str">
        <f t="shared" si="274"/>
        <v/>
      </c>
      <c r="AG230" s="189" t="str">
        <f t="shared" ca="1" si="275"/>
        <v/>
      </c>
      <c r="AH230" s="50" t="str">
        <f t="shared" ref="AH230" si="311">IF(OR(AC230="",AE230=""),"",CONCATENATE(AC230,"_",K220,"_",L220))</f>
        <v/>
      </c>
    </row>
    <row r="231" spans="1:34" x14ac:dyDescent="0.25">
      <c r="A231" s="5" t="str">
        <f>IF(LEFT(F231,15)='SOP template'!$B$1,1,"")</f>
        <v/>
      </c>
      <c r="B231" s="190" t="str">
        <f t="shared" si="309"/>
        <v>SOP.013.12</v>
      </c>
      <c r="C231" s="190" t="str">
        <f t="shared" si="302"/>
        <v>SOP.013.6.4</v>
      </c>
      <c r="D231" s="190" t="str">
        <f t="shared" si="303"/>
        <v>SOP.013.4.5</v>
      </c>
      <c r="E231" s="190">
        <f t="shared" si="266"/>
        <v>12</v>
      </c>
      <c r="F231" s="190" t="str">
        <f t="shared" si="310"/>
        <v>ALP.BSP.SOP.013.12</v>
      </c>
      <c r="G231" s="190" t="str">
        <f>IF(ISBLANK(N231),"",CONCATENATE(LEFT(F231,15),".",INDEX(Ref!A:A,MATCH(N231,Ref!$K$1:$K$333,0))))</f>
        <v/>
      </c>
      <c r="H231" s="180"/>
      <c r="I231" s="217"/>
      <c r="J231" s="180"/>
      <c r="K231" s="181"/>
      <c r="L231" s="182"/>
      <c r="M231" s="182"/>
      <c r="N231" s="183"/>
      <c r="O231" s="182"/>
      <c r="P231" s="182"/>
      <c r="Q231" s="184"/>
      <c r="R231" s="184"/>
      <c r="S231" s="185" t="str">
        <f>IFERROR(CLEAN(INDEX('Risk Matrix'!$H$7:$L$11,MATCH($Q231,'Risk Matrix'!$F$7:$F$11,0),MATCH($R231,'Risk Matrix'!$H$6:$L$6,0))),"")</f>
        <v/>
      </c>
      <c r="T231" s="85" t="str">
        <f>IF(LEFT($B231,7)=RIGHT('SOP template'!$B$1,7),_xlfn.NUMBERVALUE(RIGHT($S231,2)),"")</f>
        <v/>
      </c>
      <c r="U231" s="182"/>
      <c r="V231" s="182"/>
      <c r="W231" s="182"/>
      <c r="X231" s="182"/>
      <c r="Y231" s="182"/>
      <c r="Z231" s="182"/>
      <c r="AA231" s="186" t="str">
        <f>IFERROR(VLOOKUP(IFERROR(LEFT(S231,4),""),Ref!$AF$2:$AG$5,2,0),"")</f>
        <v/>
      </c>
      <c r="AB231" s="186"/>
      <c r="AC231" s="218"/>
      <c r="AD231" s="187" t="str">
        <f>IFERROR(VLOOKUP(AC231,'Training Matrix'!B$4:C$24,2,0),"")</f>
        <v/>
      </c>
      <c r="AE231" s="218"/>
      <c r="AF231" s="188" t="str">
        <f t="shared" si="274"/>
        <v/>
      </c>
      <c r="AG231" s="189" t="str">
        <f t="shared" ca="1" si="275"/>
        <v/>
      </c>
      <c r="AH231" s="50" t="str">
        <f t="shared" ref="AH231" si="312">IF(OR(AC231="",AE231=""),"",CONCATENATE(AC231,"_",K220,"_",L220))</f>
        <v/>
      </c>
    </row>
    <row r="232" spans="1:34" x14ac:dyDescent="0.25">
      <c r="A232" s="5" t="str">
        <f>IF(LEFT(F232,15)='SOP template'!$B$1,1,"")</f>
        <v/>
      </c>
      <c r="B232" s="190" t="str">
        <f t="shared" si="309"/>
        <v>SOP.013.13</v>
      </c>
      <c r="C232" s="190" t="str">
        <f t="shared" si="302"/>
        <v>SOP.013.</v>
      </c>
      <c r="D232" s="190" t="str">
        <f t="shared" si="303"/>
        <v>SOP.013.</v>
      </c>
      <c r="E232" s="190">
        <f t="shared" si="266"/>
        <v>13</v>
      </c>
      <c r="F232" s="190" t="str">
        <f t="shared" si="310"/>
        <v>ALP.BSP.SOP.013.13</v>
      </c>
      <c r="G232" s="190" t="str">
        <f>IF(ISBLANK(N232),"",CONCATENATE(LEFT(F232,15),".",INDEX(Ref!A:A,MATCH(N232,Ref!$K$1:$K$333,0))))</f>
        <v/>
      </c>
      <c r="H232" s="180"/>
      <c r="I232" s="217"/>
      <c r="J232" s="180"/>
      <c r="K232" s="181"/>
      <c r="L232" s="182"/>
      <c r="M232" s="182"/>
      <c r="N232" s="183"/>
      <c r="O232" s="182"/>
      <c r="P232" s="182"/>
      <c r="Q232" s="184"/>
      <c r="R232" s="184"/>
      <c r="S232" s="185" t="str">
        <f>IFERROR(CLEAN(INDEX('Risk Matrix'!$H$7:$L$11,MATCH($Q232,'Risk Matrix'!$F$7:$F$11,0),MATCH($R232,'Risk Matrix'!$H$6:$L$6,0))),"")</f>
        <v/>
      </c>
      <c r="T232" s="85" t="str">
        <f>IF(LEFT($B232,7)=RIGHT('SOP template'!$B$1,7),_xlfn.NUMBERVALUE(RIGHT($S232,2)),"")</f>
        <v/>
      </c>
      <c r="U232" s="182"/>
      <c r="V232" s="182"/>
      <c r="W232" s="182"/>
      <c r="X232" s="182"/>
      <c r="Y232" s="182"/>
      <c r="Z232" s="182"/>
      <c r="AA232" s="186" t="str">
        <f>IFERROR(VLOOKUP(IFERROR(LEFT(S232,4),""),Ref!$AF$2:$AG$5,2,0),"")</f>
        <v/>
      </c>
      <c r="AB232" s="186"/>
      <c r="AC232" s="218"/>
      <c r="AD232" s="187" t="str">
        <f>IFERROR(VLOOKUP(AC232,'Training Matrix'!B$4:C$24,2,0),"")</f>
        <v/>
      </c>
      <c r="AE232" s="218"/>
      <c r="AF232" s="188" t="str">
        <f t="shared" si="274"/>
        <v/>
      </c>
      <c r="AG232" s="189" t="str">
        <f t="shared" ca="1" si="275"/>
        <v/>
      </c>
      <c r="AH232" s="50" t="str">
        <f t="shared" ref="AH232" si="313">IF(OR(AC232="",AE232=""),"",CONCATENATE(AC232,"_",K220,"_",L220))</f>
        <v/>
      </c>
    </row>
    <row r="233" spans="1:34" x14ac:dyDescent="0.25">
      <c r="A233" s="5" t="str">
        <f>IF(LEFT(F233,15)='SOP template'!$B$1,1,"")</f>
        <v/>
      </c>
      <c r="B233" s="190" t="str">
        <f t="shared" si="309"/>
        <v>SOP.013.14</v>
      </c>
      <c r="C233" s="190" t="str">
        <f t="shared" si="302"/>
        <v>SOP.013.</v>
      </c>
      <c r="D233" s="190" t="str">
        <f t="shared" si="303"/>
        <v>SOP.013.</v>
      </c>
      <c r="E233" s="190">
        <f t="shared" si="266"/>
        <v>14</v>
      </c>
      <c r="F233" s="190" t="str">
        <f t="shared" si="310"/>
        <v>ALP.BSP.SOP.013.14</v>
      </c>
      <c r="G233" s="190" t="str">
        <f>IF(ISBLANK(N233),"",CONCATENATE(LEFT(F233,15),".",INDEX(Ref!A:A,MATCH(N233,Ref!$K$1:$K$333,0))))</f>
        <v/>
      </c>
      <c r="H233" s="180"/>
      <c r="I233" s="217"/>
      <c r="J233" s="180"/>
      <c r="K233" s="181"/>
      <c r="L233" s="182"/>
      <c r="M233" s="182"/>
      <c r="N233" s="183"/>
      <c r="O233" s="182"/>
      <c r="P233" s="182"/>
      <c r="Q233" s="184"/>
      <c r="R233" s="184"/>
      <c r="S233" s="185" t="str">
        <f>IFERROR(CLEAN(INDEX('Risk Matrix'!$H$7:$L$11,MATCH($Q233,'Risk Matrix'!$F$7:$F$11,0),MATCH($R233,'Risk Matrix'!$H$6:$L$6,0))),"")</f>
        <v/>
      </c>
      <c r="T233" s="85" t="str">
        <f>IF(LEFT($B233,7)=RIGHT('SOP template'!$B$1,7),_xlfn.NUMBERVALUE(RIGHT($S233,2)),"")</f>
        <v/>
      </c>
      <c r="U233" s="182"/>
      <c r="V233" s="182"/>
      <c r="W233" s="182"/>
      <c r="X233" s="182"/>
      <c r="Y233" s="182"/>
      <c r="Z233" s="182"/>
      <c r="AA233" s="186" t="str">
        <f>IFERROR(VLOOKUP(IFERROR(LEFT(S233,4),""),Ref!$AF$2:$AG$5,2,0),"")</f>
        <v/>
      </c>
      <c r="AB233" s="186"/>
      <c r="AC233" s="218"/>
      <c r="AD233" s="187" t="str">
        <f>IFERROR(VLOOKUP(AC233,'Training Matrix'!B$4:C$24,2,0),"")</f>
        <v/>
      </c>
      <c r="AE233" s="218"/>
      <c r="AF233" s="188" t="str">
        <f t="shared" si="274"/>
        <v/>
      </c>
      <c r="AG233" s="189" t="str">
        <f t="shared" ca="1" si="275"/>
        <v/>
      </c>
      <c r="AH233" s="50" t="str">
        <f t="shared" ref="AH233" si="314">IF(OR(AC233="",AE233=""),"",CONCATENATE(AC233,"_",K220,"_",L220))</f>
        <v/>
      </c>
    </row>
    <row r="234" spans="1:34" x14ac:dyDescent="0.25">
      <c r="A234" s="5" t="str">
        <f>IF(LEFT(F234,15)='SOP template'!$B$1,1,"")</f>
        <v/>
      </c>
      <c r="B234" s="190" t="str">
        <f t="shared" si="309"/>
        <v>SOP.013.15</v>
      </c>
      <c r="C234" s="190" t="str">
        <f t="shared" si="302"/>
        <v>SOP.013.</v>
      </c>
      <c r="D234" s="190" t="str">
        <f t="shared" si="303"/>
        <v>SOP.013.</v>
      </c>
      <c r="E234" s="190">
        <f t="shared" si="266"/>
        <v>15</v>
      </c>
      <c r="F234" s="190" t="str">
        <f t="shared" si="310"/>
        <v>ALP.BSP.SOP.013.15</v>
      </c>
      <c r="G234" s="190" t="str">
        <f>IF(ISBLANK(N234),"",CONCATENATE(LEFT(F234,15),".",INDEX(Ref!A:A,MATCH(N234,Ref!$K$1:$K$333,0))))</f>
        <v/>
      </c>
      <c r="H234" s="180"/>
      <c r="I234" s="217"/>
      <c r="J234" s="180"/>
      <c r="K234" s="181"/>
      <c r="L234" s="182"/>
      <c r="M234" s="182"/>
      <c r="N234" s="183"/>
      <c r="O234" s="182"/>
      <c r="P234" s="182"/>
      <c r="Q234" s="184"/>
      <c r="R234" s="184"/>
      <c r="S234" s="185" t="str">
        <f>IFERROR(CLEAN(INDEX('Risk Matrix'!$H$7:$L$11,MATCH($Q234,'Risk Matrix'!$F$7:$F$11,0),MATCH($R234,'Risk Matrix'!$H$6:$L$6,0))),"")</f>
        <v/>
      </c>
      <c r="T234" s="85" t="str">
        <f>IF(LEFT($B234,7)=RIGHT('SOP template'!$B$1,7),_xlfn.NUMBERVALUE(RIGHT($S234,2)),"")</f>
        <v/>
      </c>
      <c r="U234" s="182"/>
      <c r="V234" s="182"/>
      <c r="W234" s="182"/>
      <c r="X234" s="182"/>
      <c r="Y234" s="182"/>
      <c r="Z234" s="182"/>
      <c r="AA234" s="186" t="str">
        <f>IFERROR(VLOOKUP(IFERROR(LEFT(S234,4),""),Ref!$AF$2:$AG$5,2,0),"")</f>
        <v/>
      </c>
      <c r="AB234" s="186"/>
      <c r="AC234" s="218"/>
      <c r="AD234" s="187" t="str">
        <f>IFERROR(VLOOKUP(AC234,'Training Matrix'!B$4:C$24,2,0),"")</f>
        <v/>
      </c>
      <c r="AE234" s="218"/>
      <c r="AF234" s="188" t="str">
        <f t="shared" si="274"/>
        <v/>
      </c>
      <c r="AG234" s="189" t="str">
        <f t="shared" ca="1" si="275"/>
        <v/>
      </c>
      <c r="AH234" s="50" t="str">
        <f t="shared" ref="AH234" si="315">IF(OR(AC234="",AE234=""),"",CONCATENATE(AC234,"_",K220,"_",L220))</f>
        <v/>
      </c>
    </row>
    <row r="235" spans="1:34" x14ac:dyDescent="0.25">
      <c r="A235" s="5" t="str">
        <f>IF(LEFT(F235,15)='SOP template'!$B$1,1,"")</f>
        <v/>
      </c>
      <c r="B235" s="190" t="str">
        <f t="shared" si="309"/>
        <v>SOP.013.16</v>
      </c>
      <c r="C235" s="190" t="str">
        <f t="shared" si="302"/>
        <v>SOP.013.</v>
      </c>
      <c r="D235" s="190" t="str">
        <f t="shared" si="303"/>
        <v>SOP.013.</v>
      </c>
      <c r="E235" s="190">
        <f t="shared" si="266"/>
        <v>16</v>
      </c>
      <c r="F235" s="190" t="str">
        <f t="shared" si="310"/>
        <v>ALP.BSP.SOP.013.16</v>
      </c>
      <c r="G235" s="190" t="str">
        <f>IF(ISBLANK(N235),"",CONCATENATE(LEFT(F235,15),".",INDEX(Ref!A:A,MATCH(N235,Ref!$K$1:$K$333,0))))</f>
        <v/>
      </c>
      <c r="H235" s="180"/>
      <c r="I235" s="217"/>
      <c r="J235" s="180"/>
      <c r="K235" s="181"/>
      <c r="L235" s="182"/>
      <c r="M235" s="182"/>
      <c r="N235" s="183"/>
      <c r="O235" s="182"/>
      <c r="P235" s="182"/>
      <c r="Q235" s="184"/>
      <c r="R235" s="184"/>
      <c r="S235" s="185" t="str">
        <f>IFERROR(CLEAN(INDEX('Risk Matrix'!$H$7:$L$11,MATCH($Q235,'Risk Matrix'!$F$7:$F$11,0),MATCH($R235,'Risk Matrix'!$H$6:$L$6,0))),"")</f>
        <v/>
      </c>
      <c r="T235" s="85" t="str">
        <f>IF(LEFT($B235,7)=RIGHT('SOP template'!$B$1,7),_xlfn.NUMBERVALUE(RIGHT($S235,2)),"")</f>
        <v/>
      </c>
      <c r="U235" s="182"/>
      <c r="V235" s="182"/>
      <c r="W235" s="182"/>
      <c r="X235" s="182"/>
      <c r="Y235" s="182"/>
      <c r="Z235" s="182"/>
      <c r="AA235" s="186" t="str">
        <f>IFERROR(VLOOKUP(IFERROR(LEFT(S235,4),""),Ref!$AF$2:$AG$5,2,0),"")</f>
        <v/>
      </c>
      <c r="AB235" s="186"/>
      <c r="AC235" s="218"/>
      <c r="AD235" s="187" t="str">
        <f>IFERROR(VLOOKUP(AC235,'Training Matrix'!B$4:C$24,2,0),"")</f>
        <v/>
      </c>
      <c r="AE235" s="218"/>
      <c r="AF235" s="188" t="str">
        <f t="shared" si="274"/>
        <v/>
      </c>
      <c r="AG235" s="189" t="str">
        <f t="shared" ca="1" si="275"/>
        <v/>
      </c>
      <c r="AH235" s="50" t="str">
        <f t="shared" ref="AH235" si="316">IF(OR(AC235="",AE235=""),"",CONCATENATE(AC235,"_",K220,"_",L220))</f>
        <v/>
      </c>
    </row>
    <row r="236" spans="1:34" x14ac:dyDescent="0.25">
      <c r="A236" s="5" t="str">
        <f>IF(LEFT(F236,15)='SOP template'!$B$1,1,"")</f>
        <v/>
      </c>
      <c r="B236" s="190" t="str">
        <f t="shared" si="309"/>
        <v>SOP.013.17</v>
      </c>
      <c r="C236" s="190" t="str">
        <f t="shared" si="302"/>
        <v>SOP.013.</v>
      </c>
      <c r="D236" s="190" t="str">
        <f t="shared" si="303"/>
        <v>SOP.013.</v>
      </c>
      <c r="E236" s="190">
        <f t="shared" si="266"/>
        <v>17</v>
      </c>
      <c r="F236" s="190" t="str">
        <f t="shared" si="310"/>
        <v>ALP.BSP.SOP.013.17</v>
      </c>
      <c r="G236" s="190" t="str">
        <f>IF(ISBLANK(N236),"",CONCATENATE(LEFT(F236,15),".",INDEX(Ref!A:A,MATCH(N236,Ref!$K$1:$K$333,0))))</f>
        <v/>
      </c>
      <c r="H236" s="180"/>
      <c r="I236" s="217"/>
      <c r="J236" s="180"/>
      <c r="K236" s="181"/>
      <c r="L236" s="182"/>
      <c r="M236" s="182"/>
      <c r="N236" s="183"/>
      <c r="O236" s="182"/>
      <c r="P236" s="182"/>
      <c r="Q236" s="184"/>
      <c r="R236" s="184"/>
      <c r="S236" s="185" t="str">
        <f>IFERROR(CLEAN(INDEX('Risk Matrix'!$H$7:$L$11,MATCH($Q236,'Risk Matrix'!$F$7:$F$11,0),MATCH($R236,'Risk Matrix'!$H$6:$L$6,0))),"")</f>
        <v/>
      </c>
      <c r="T236" s="85" t="str">
        <f>IF(LEFT($B236,7)=RIGHT('SOP template'!$B$1,7),_xlfn.NUMBERVALUE(RIGHT($S236,2)),"")</f>
        <v/>
      </c>
      <c r="U236" s="182"/>
      <c r="V236" s="182"/>
      <c r="W236" s="182"/>
      <c r="X236" s="182"/>
      <c r="Y236" s="182"/>
      <c r="Z236" s="182"/>
      <c r="AA236" s="186" t="str">
        <f>IFERROR(VLOOKUP(IFERROR(LEFT(S236,4),""),Ref!$AF$2:$AG$5,2,0),"")</f>
        <v/>
      </c>
      <c r="AB236" s="186"/>
      <c r="AC236" s="218"/>
      <c r="AD236" s="187" t="str">
        <f>IFERROR(VLOOKUP(AC236,'Training Matrix'!B$4:C$24,2,0),"")</f>
        <v/>
      </c>
      <c r="AE236" s="218"/>
      <c r="AF236" s="188" t="str">
        <f t="shared" si="274"/>
        <v/>
      </c>
      <c r="AG236" s="189" t="str">
        <f t="shared" ca="1" si="275"/>
        <v/>
      </c>
      <c r="AH236" s="50" t="str">
        <f t="shared" ref="AH236" si="317">IF(OR(AC236="",AE236=""),"",CONCATENATE(AC236,"_",K220,"_",L220))</f>
        <v/>
      </c>
    </row>
    <row r="237" spans="1:34" x14ac:dyDescent="0.25">
      <c r="A237" s="5" t="str">
        <f>IF(LEFT(F237,15)='SOP template'!$B$1,1,"")</f>
        <v/>
      </c>
      <c r="B237" s="190" t="str">
        <f t="shared" si="309"/>
        <v>SOP.013.18</v>
      </c>
      <c r="C237" s="190" t="str">
        <f t="shared" si="302"/>
        <v>SOP.013.</v>
      </c>
      <c r="D237" s="190" t="str">
        <f t="shared" si="303"/>
        <v>SOP.013.</v>
      </c>
      <c r="E237" s="190">
        <f t="shared" si="266"/>
        <v>18</v>
      </c>
      <c r="F237" s="190" t="str">
        <f t="shared" si="310"/>
        <v>ALP.BSP.SOP.013.18</v>
      </c>
      <c r="G237" s="190" t="str">
        <f>IF(ISBLANK(N237),"",CONCATENATE(LEFT(F237,15),".",INDEX(Ref!A:A,MATCH(N237,Ref!$K$1:$K$333,0))))</f>
        <v/>
      </c>
      <c r="H237" s="180"/>
      <c r="I237" s="217"/>
      <c r="J237" s="180"/>
      <c r="K237" s="181"/>
      <c r="L237" s="182"/>
      <c r="M237" s="182"/>
      <c r="N237" s="183"/>
      <c r="O237" s="182"/>
      <c r="P237" s="182"/>
      <c r="Q237" s="184"/>
      <c r="R237" s="184"/>
      <c r="S237" s="185" t="str">
        <f>IFERROR(CLEAN(INDEX('Risk Matrix'!$H$7:$L$11,MATCH($Q237,'Risk Matrix'!$F$7:$F$11,0),MATCH($R237,'Risk Matrix'!$H$6:$L$6,0))),"")</f>
        <v/>
      </c>
      <c r="T237" s="85" t="str">
        <f>IF(LEFT($B237,7)=RIGHT('SOP template'!$B$1,7),_xlfn.NUMBERVALUE(RIGHT($S237,2)),"")</f>
        <v/>
      </c>
      <c r="U237" s="182"/>
      <c r="V237" s="182"/>
      <c r="W237" s="182"/>
      <c r="X237" s="182"/>
      <c r="Y237" s="182"/>
      <c r="Z237" s="182"/>
      <c r="AA237" s="186" t="str">
        <f>IFERROR(VLOOKUP(IFERROR(LEFT(S237,4),""),Ref!$AF$2:$AG$5,2,0),"")</f>
        <v/>
      </c>
      <c r="AB237" s="186"/>
      <c r="AC237" s="218"/>
      <c r="AD237" s="187" t="str">
        <f>IFERROR(VLOOKUP(AC237,'Training Matrix'!B$4:C$24,2,0),"")</f>
        <v/>
      </c>
      <c r="AE237" s="218"/>
      <c r="AF237" s="188" t="str">
        <f t="shared" si="274"/>
        <v/>
      </c>
      <c r="AG237" s="189" t="str">
        <f t="shared" ca="1" si="275"/>
        <v/>
      </c>
      <c r="AH237" s="50" t="str">
        <f t="shared" ref="AH237" si="318">IF(OR(AC237="",AE237=""),"",CONCATENATE(AC237,"_",K220,"_",L220))</f>
        <v/>
      </c>
    </row>
    <row r="238" spans="1:34" ht="45" x14ac:dyDescent="0.25">
      <c r="A238" s="5" t="str">
        <f>IF(LEFT(F238,15)='SOP template'!$B$1,1,"")</f>
        <v/>
      </c>
      <c r="B238" s="179" t="str">
        <f t="shared" ref="B238" si="319">IF(ISBLANK($K238),CONCATENATE($B$2,".",TEXT(J238,"000"),".",$E238),CONCATENATE(RIGHT($K238,7),".1"))</f>
        <v>SOP.014.1</v>
      </c>
      <c r="C238" s="179" t="str">
        <f>IF(ISBLANK($K238),CONCATENATE(LEFT($B166,8),IF($E238=1,1.1,IF($E238=2,1.4,IF($E238=3,2,IF($E238=4,2.4,IF($E238=5,3,IF($E238=6,3.4,IF($E238=7,4,IF($E238=8,4.4,IF($E238=9,5,IF($E238=10,5.4,IF($E238=11,6,IF($E238=12,6.4,""))))))))))))),CONCATENATE(RIGHT($K238,7),".1"))</f>
        <v>SOP.014.1</v>
      </c>
      <c r="D238" s="179" t="str">
        <f>IF(ISBLANK($K238),CONCATENATE(LEFT($B166,8),IF($E238=1,1,IF($E238=2,1.3,IF($E238=3,1.5,IF($E238=4,2,IF($E238=5,2.3,IF($E238=6,2.5,IF($E238=7,3,IF($E238=8,3.3,IF($E238=9,3.5,IF($E238=10,4,IF($E238=11,4.3,IF($E238=12,4.5,""))))))))))))),CONCATENATE(RIGHT($K238,7),".1"))</f>
        <v>SOP.014.1</v>
      </c>
      <c r="E238" s="179">
        <f t="shared" si="266"/>
        <v>1</v>
      </c>
      <c r="F238" s="179" t="str">
        <f t="shared" ref="F238" si="320">K238&amp;"."&amp;TEXT(E238,"00")</f>
        <v>ALP.BSP.SOP.014.01</v>
      </c>
      <c r="G238" s="179" t="str">
        <f>IF(ISBLANK(N238),"",CONCATENATE(LEFT(F238,15),".",INDEX(Ref!A:A,MATCH(N238,Ref!$K$1:$K$333,0))))</f>
        <v>ALP.BSP.SOP.014.1</v>
      </c>
      <c r="H238" s="217" t="s">
        <v>394</v>
      </c>
      <c r="I238" s="217" t="s">
        <v>275</v>
      </c>
      <c r="J238" s="180">
        <v>14</v>
      </c>
      <c r="K238" s="181" t="str">
        <f>IFERROR(CONCATENATE(INDEX(Ref!$Z$2:$Z$8,MATCH(H238,Ref!$AA$2:$AA$8,0)),".",I238,".SOP.",TEXT(J238,"000")),CONCATENATE(H238,".",I238,".SOP.",TEXT(J238,"000")))</f>
        <v>ALP.BSP.SOP.014</v>
      </c>
      <c r="L238" s="191" t="s">
        <v>974</v>
      </c>
      <c r="M238" s="182" t="s">
        <v>975</v>
      </c>
      <c r="N238" s="183" t="s">
        <v>117</v>
      </c>
      <c r="O238" s="182" t="s">
        <v>411</v>
      </c>
      <c r="P238" s="182" t="s">
        <v>636</v>
      </c>
      <c r="Q238" s="184" t="s">
        <v>89</v>
      </c>
      <c r="R238" s="184" t="s">
        <v>90</v>
      </c>
      <c r="S238" s="185" t="str">
        <f>IFERROR(CLEAN(INDEX('Risk Matrix'!$H$7:$L$11,MATCH($Q238,'Risk Matrix'!$F$7:$F$11,0),MATCH($R238,'Risk Matrix'!$H$6:$L$6,0))),"")</f>
        <v>Medium 2</v>
      </c>
      <c r="T238" s="85" t="str">
        <f>IF(LEFT($B238,7)=RIGHT('SOP template'!$B$1,7),_xlfn.NUMBERVALUE(RIGHT($S238,2)),"")</f>
        <v/>
      </c>
      <c r="U238" s="182" t="s">
        <v>529</v>
      </c>
      <c r="V238" s="182" t="s">
        <v>512</v>
      </c>
      <c r="W238" s="182" t="s">
        <v>791</v>
      </c>
      <c r="X238" s="182" t="s">
        <v>792</v>
      </c>
      <c r="Y238" s="182" t="s">
        <v>793</v>
      </c>
      <c r="Z238" s="182" t="s">
        <v>794</v>
      </c>
      <c r="AA238" s="186">
        <f>IFERROR(VLOOKUP(IFERROR(LEFT(S238,4),""),Ref!$AF$2:$AG$5,2,0),"")</f>
        <v>24</v>
      </c>
      <c r="AB238" s="186">
        <f>MIN($AA$238:$AA$255)</f>
        <v>24</v>
      </c>
      <c r="AC238" s="218" t="s">
        <v>289</v>
      </c>
      <c r="AD238" s="187" t="str">
        <f>IFERROR(VLOOKUP(AC238,'Training Matrix'!B$4:C$24,2,0),"")</f>
        <v>Dock Manager</v>
      </c>
      <c r="AE238" s="221">
        <v>45792</v>
      </c>
      <c r="AF238" s="188">
        <f>IF(AE238="","",EDATE(AE238,AB$4))</f>
        <v>46522</v>
      </c>
      <c r="AG238" s="189" t="str">
        <f ca="1">IF(AE238="","",IF(TODAY()&gt;AF238,"Overdue","Current"))</f>
        <v>Current</v>
      </c>
      <c r="AH238" s="50" t="str">
        <f>IF(OR(AC238="",AE238=""),"",CONCATENATE(AC238,"_",K238,"_",L238))</f>
        <v>Person 1_ALP.BSP.SOP.014_Dermestid room use</v>
      </c>
    </row>
    <row r="239" spans="1:34" ht="45" x14ac:dyDescent="0.25">
      <c r="A239" s="5" t="str">
        <f>IF(LEFT(F239,15)='SOP template'!$B$1,1,"")</f>
        <v/>
      </c>
      <c r="B239" s="190" t="str">
        <f t="shared" ref="B239" si="321">CONCATENATE(LEFT(B238,8),E239)</f>
        <v>SOP.014.2</v>
      </c>
      <c r="C239" s="190" t="str">
        <f>IF(ISBLANK($K239),CONCATENATE(LEFT($B238,8),IF($E239=1,1.1,IF($E239=2,1.4,IF($E239=3,2,IF($E239=4,2.4,IF($E239=5,3,IF($E239=6,3.4,IF($E239=7,4,IF($E239=8,4.4,IF($E239=9,5,IF($E239=10,5.4,IF($E239=11,6,IF($E239=12,6.4,""))))))))))))),CONCATENATE(RIGHT($K239,7),".1"))</f>
        <v>SOP.014.1.4</v>
      </c>
      <c r="D239" s="190" t="str">
        <f>IF(ISBLANK($K239),CONCATENATE(LEFT($B238,8),IF($E239=1,1,IF($E239=2,1.3,IF($E239=3,1.5,IF($E239=4,2,IF($E239=5,2.3,IF($E239=6,2.5,IF($E239=7,3,IF($E239=8,3.3,IF($E239=9,3.5,IF($E239=10,4,IF($E239=11,4.3,IF($E239=12,4.5,""))))))))))))),CONCATENATE(RIGHT($K239,7),".1"))</f>
        <v>SOP.014.1.3</v>
      </c>
      <c r="E239" s="190">
        <f t="shared" si="266"/>
        <v>2</v>
      </c>
      <c r="F239" s="190" t="str">
        <f>IF(K239=0,LEFT(F238,16)&amp;TEXT(E239,"00"),K239&amp;"."&amp;TEXT(E239,"00"))</f>
        <v>ALP.BSP.SOP.014.02</v>
      </c>
      <c r="G239" s="190" t="str">
        <f>IF(ISBLANK(N239),"",CONCATENATE(LEFT(F239,15),".",INDEX(Ref!A:A,MATCH(N239,Ref!$K$1:$K$333,0))))</f>
        <v>ALP.BSP.SOP.014.2</v>
      </c>
      <c r="H239" s="180"/>
      <c r="I239" s="217"/>
      <c r="J239" s="180"/>
      <c r="K239" s="181"/>
      <c r="L239" s="182"/>
      <c r="M239" s="182"/>
      <c r="N239" s="183" t="s">
        <v>94</v>
      </c>
      <c r="O239" s="182" t="s">
        <v>976</v>
      </c>
      <c r="P239" s="182" t="s">
        <v>977</v>
      </c>
      <c r="Q239" s="184" t="s">
        <v>92</v>
      </c>
      <c r="R239" s="184" t="s">
        <v>90</v>
      </c>
      <c r="S239" s="185" t="str">
        <f>IFERROR(CLEAN(INDEX('Risk Matrix'!$H$7:$L$11,MATCH($Q239,'Risk Matrix'!$F$7:$F$11,0),MATCH($R239,'Risk Matrix'!$H$6:$L$6,0))),"")</f>
        <v>Medium 2</v>
      </c>
      <c r="T239" s="85" t="str">
        <f>IF(LEFT($B239,7)=RIGHT('SOP template'!$B$1,7),_xlfn.NUMBERVALUE(RIGHT($S239,2)),"")</f>
        <v/>
      </c>
      <c r="U239" s="182" t="s">
        <v>795</v>
      </c>
      <c r="V239" s="182" t="s">
        <v>553</v>
      </c>
      <c r="W239" s="182" t="s">
        <v>796</v>
      </c>
      <c r="X239" s="182" t="s">
        <v>797</v>
      </c>
      <c r="Y239" s="182" t="s">
        <v>515</v>
      </c>
      <c r="Z239" s="182" t="s">
        <v>798</v>
      </c>
      <c r="AA239" s="186">
        <f>IFERROR(VLOOKUP(IFERROR(LEFT(S239,4),""),Ref!$AF$2:$AG$5,2,0),"")</f>
        <v>24</v>
      </c>
      <c r="AB239" s="186"/>
      <c r="AC239" s="218" t="s">
        <v>290</v>
      </c>
      <c r="AD239" s="187" t="str">
        <f>IFERROR(VLOOKUP(AC239,'Training Matrix'!B$4:C$24,2,0),"")</f>
        <v>WHS Team member</v>
      </c>
      <c r="AE239" s="221">
        <v>45792</v>
      </c>
      <c r="AF239" s="188">
        <f>IF(AE239="","",EDATE(AE239,AB$4))</f>
        <v>46522</v>
      </c>
      <c r="AG239" s="189" t="str">
        <f ca="1">IF(AE239="","",IF(TODAY()&gt;AF239,"Overdue","Current"))</f>
        <v>Current</v>
      </c>
      <c r="AH239" s="50" t="str">
        <f>IF(OR(AC239="",AE239=""),"",CONCATENATE(AC239,"_",K238,"_",L238))</f>
        <v>Person 2_ALP.BSP.SOP.014_Dermestid room use</v>
      </c>
    </row>
    <row r="240" spans="1:34" ht="45" x14ac:dyDescent="0.25">
      <c r="A240" s="5" t="str">
        <f>IF(LEFT(F240,15)='SOP template'!$B$1,1,"")</f>
        <v/>
      </c>
      <c r="B240" s="190" t="str">
        <f t="shared" si="176"/>
        <v>SOP.014.3</v>
      </c>
      <c r="C240" s="190" t="str">
        <f t="shared" ref="C240:C255" si="322">IF(ISBLANK($K240),CONCATENATE(LEFT($B239,8),IF($E240=1,1.1,IF($E240=2,1.4,IF($E240=3,2,IF($E240=4,2.4,IF($E240=5,3,IF($E240=6,3.4,IF($E240=7,4,IF($E240=8,4.4,IF($E240=9,5,IF($E240=10,5.4,IF($E240=11,6,IF($E240=12,6.4,""))))))))))))),CONCATENATE(RIGHT($K240,7),".1"))</f>
        <v>SOP.014.2</v>
      </c>
      <c r="D240" s="190" t="str">
        <f t="shared" ref="D240:D255" si="323">IF(ISBLANK($K240),CONCATENATE(LEFT($B239,8),IF($E240=1,1,IF($E240=2,1.3,IF($E240=3,1.5,IF($E240=4,2,IF($E240=5,2.3,IF($E240=6,2.5,IF($E240=7,3,IF($E240=8,3.3,IF($E240=9,3.5,IF($E240=10,4,IF($E240=11,4.3,IF($E240=12,4.5,""))))))))))))),CONCATENATE(RIGHT($K240,7),".1"))</f>
        <v>SOP.014.1.5</v>
      </c>
      <c r="E240" s="190">
        <f t="shared" si="266"/>
        <v>3</v>
      </c>
      <c r="F240" s="190" t="str">
        <f t="shared" si="177"/>
        <v>ALP.BSP.SOP.014.03</v>
      </c>
      <c r="G240" s="190" t="str">
        <f>IF(ISBLANK(N240),"",CONCATENATE(LEFT(F240,15),".",INDEX(Ref!A:A,MATCH(N240,Ref!$K$1:$K$333,0))))</f>
        <v>ALP.BSP.SOP.014.7</v>
      </c>
      <c r="H240" s="180"/>
      <c r="I240" s="217"/>
      <c r="J240" s="180"/>
      <c r="K240" s="181"/>
      <c r="L240" s="182"/>
      <c r="M240" s="182"/>
      <c r="N240" s="183" t="s">
        <v>88</v>
      </c>
      <c r="O240" s="182" t="s">
        <v>498</v>
      </c>
      <c r="P240" s="182" t="s">
        <v>499</v>
      </c>
      <c r="Q240" s="184" t="s">
        <v>92</v>
      </c>
      <c r="R240" s="184" t="s">
        <v>90</v>
      </c>
      <c r="S240" s="185" t="str">
        <f>IFERROR(CLEAN(INDEX('Risk Matrix'!$H$7:$L$11,MATCH($Q240,'Risk Matrix'!$F$7:$F$11,0),MATCH($R240,'Risk Matrix'!$H$6:$L$6,0))),"")</f>
        <v>Medium 2</v>
      </c>
      <c r="T240" s="85" t="str">
        <f>IF(LEFT($B240,7)=RIGHT('SOP template'!$B$1,7),_xlfn.NUMBERVALUE(RIGHT($S240,2)),"")</f>
        <v/>
      </c>
      <c r="U240" s="182" t="s">
        <v>523</v>
      </c>
      <c r="V240" s="182" t="s">
        <v>524</v>
      </c>
      <c r="W240" s="182"/>
      <c r="X240" s="182" t="s">
        <v>520</v>
      </c>
      <c r="Y240" s="182" t="s">
        <v>521</v>
      </c>
      <c r="Z240" s="182"/>
      <c r="AA240" s="186">
        <f>IFERROR(VLOOKUP(IFERROR(LEFT(S240,4),""),Ref!$AF$2:$AG$5,2,0),"")</f>
        <v>24</v>
      </c>
      <c r="AB240" s="186"/>
      <c r="AC240" s="218" t="s">
        <v>167</v>
      </c>
      <c r="AD240" s="187" t="str">
        <f>IFERROR(VLOOKUP(AC240,'Training Matrix'!B$4:C$24,2,0),"")</f>
        <v>Bioscience Manager</v>
      </c>
      <c r="AE240" s="221">
        <v>45792</v>
      </c>
      <c r="AF240" s="188">
        <f>IF(AE240="","",EDATE(AE240,AB$4))</f>
        <v>46522</v>
      </c>
      <c r="AG240" s="189" t="str">
        <f ca="1">IF(AE240="","",IF(TODAY()&gt;AF240,"Overdue","Current"))</f>
        <v>Current</v>
      </c>
      <c r="AH240" s="50" t="str">
        <f>IF(OR(AC240="",AE240=""),"",CONCATENATE(AC240,"_",K238,"_",L238))</f>
        <v>Person 3_ALP.BSP.SOP.014_Dermestid room use</v>
      </c>
    </row>
    <row r="241" spans="1:34" ht="45" x14ac:dyDescent="0.25">
      <c r="A241" s="5" t="str">
        <f>IF(LEFT(F241,15)='SOP template'!$B$1,1,"")</f>
        <v/>
      </c>
      <c r="B241" s="190" t="str">
        <f t="shared" si="176"/>
        <v>SOP.014.4</v>
      </c>
      <c r="C241" s="190" t="str">
        <f t="shared" si="322"/>
        <v>SOP.014.2.4</v>
      </c>
      <c r="D241" s="190" t="str">
        <f t="shared" si="323"/>
        <v>SOP.014.2</v>
      </c>
      <c r="E241" s="190">
        <f t="shared" si="266"/>
        <v>4</v>
      </c>
      <c r="F241" s="190" t="str">
        <f>IF(K241=0,LEFT(F240,16)&amp;TEXT(E241,"00"),K241&amp;"."&amp;TEXT(E241,"00"))</f>
        <v>ALP.BSP.SOP.014.04</v>
      </c>
      <c r="G241" s="190" t="str">
        <f>IF(ISBLANK(N241),"",CONCATENATE(LEFT(F241,15),".",INDEX(Ref!A:A,MATCH(N241,Ref!$K$1:$K$333,0))))</f>
        <v>ALP.BSP.SOP.014.11</v>
      </c>
      <c r="H241" s="180"/>
      <c r="I241" s="217"/>
      <c r="J241" s="180"/>
      <c r="K241" s="181"/>
      <c r="L241" s="182"/>
      <c r="M241" s="182"/>
      <c r="N241" s="183" t="s">
        <v>95</v>
      </c>
      <c r="O241" s="182" t="s">
        <v>417</v>
      </c>
      <c r="P241" s="182" t="s">
        <v>418</v>
      </c>
      <c r="Q241" s="184" t="s">
        <v>89</v>
      </c>
      <c r="R241" s="184" t="s">
        <v>91</v>
      </c>
      <c r="S241" s="185" t="str">
        <f>IFERROR(CLEAN(INDEX('Risk Matrix'!$H$7:$L$11,MATCH($Q241,'Risk Matrix'!$F$7:$F$11,0),MATCH($R241,'Risk Matrix'!$H$6:$L$6,0))),"")</f>
        <v>Low 1</v>
      </c>
      <c r="T241" s="85" t="str">
        <f>IF(LEFT($B241,7)=RIGHT('SOP template'!$B$1,7),_xlfn.NUMBERVALUE(RIGHT($S241,2)),"")</f>
        <v/>
      </c>
      <c r="U241" s="182" t="s">
        <v>774</v>
      </c>
      <c r="V241" s="182" t="s">
        <v>799</v>
      </c>
      <c r="W241" s="182"/>
      <c r="X241" s="182" t="s">
        <v>800</v>
      </c>
      <c r="Y241" s="182" t="s">
        <v>801</v>
      </c>
      <c r="Z241" s="182"/>
      <c r="AA241" s="186">
        <f>IFERROR(VLOOKUP(IFERROR(LEFT(S241,4),""),Ref!$AF$2:$AG$5,2,0),"")</f>
        <v>36</v>
      </c>
      <c r="AB241" s="186"/>
      <c r="AC241" s="218" t="s">
        <v>168</v>
      </c>
      <c r="AD241" s="187" t="str">
        <f>IFERROR(VLOOKUP(AC241,'Training Matrix'!B$4:C$24,2,0),"")</f>
        <v>Collection Manager</v>
      </c>
      <c r="AE241" s="221">
        <v>45792</v>
      </c>
      <c r="AF241" s="188">
        <f>IF(AE241="","",EDATE(AE241,AB$4))</f>
        <v>46522</v>
      </c>
      <c r="AG241" s="189" t="str">
        <f ca="1">IF(AE241="","",IF(TODAY()&gt;AF241,"Overdue","Current"))</f>
        <v>Current</v>
      </c>
      <c r="AH241" s="50" t="str">
        <f>IF(OR(AC241="",AE241=""),"",CONCATENATE(AC241,"_",K238,"_",L238))</f>
        <v>Person 4_ALP.BSP.SOP.014_Dermestid room use</v>
      </c>
    </row>
    <row r="242" spans="1:34" ht="30" x14ac:dyDescent="0.25">
      <c r="A242" s="5" t="str">
        <f>IF(LEFT(F242,15)='SOP template'!$B$1,1,"")</f>
        <v/>
      </c>
      <c r="B242" s="190" t="str">
        <f t="shared" si="176"/>
        <v>SOP.014.5</v>
      </c>
      <c r="C242" s="190" t="str">
        <f t="shared" si="322"/>
        <v>SOP.014.3</v>
      </c>
      <c r="D242" s="190" t="str">
        <f t="shared" si="323"/>
        <v>SOP.014.2.3</v>
      </c>
      <c r="E242" s="190">
        <f t="shared" si="266"/>
        <v>5</v>
      </c>
      <c r="F242" s="190" t="str">
        <f t="shared" si="177"/>
        <v>ALP.BSP.SOP.014.05</v>
      </c>
      <c r="G242" s="190" t="str">
        <f>IF(ISBLANK(N242),"",CONCATENATE(LEFT(F242,15),".",INDEX(Ref!A:A,MATCH(N242,Ref!$K$1:$K$333,0))))</f>
        <v>ALP.BSP.SOP.014.13</v>
      </c>
      <c r="H242" s="180"/>
      <c r="I242" s="217"/>
      <c r="J242" s="180"/>
      <c r="K242" s="181"/>
      <c r="L242" s="182"/>
      <c r="M242" s="182"/>
      <c r="N242" s="183" t="s">
        <v>126</v>
      </c>
      <c r="O242" s="182" t="s">
        <v>548</v>
      </c>
      <c r="P242" s="182" t="s">
        <v>549</v>
      </c>
      <c r="Q242" s="184" t="s">
        <v>89</v>
      </c>
      <c r="R242" s="184" t="s">
        <v>91</v>
      </c>
      <c r="S242" s="185" t="str">
        <f>IFERROR(CLEAN(INDEX('Risk Matrix'!$H$7:$L$11,MATCH($Q242,'Risk Matrix'!$F$7:$F$11,0),MATCH($R242,'Risk Matrix'!$H$6:$L$6,0))),"")</f>
        <v>Low 1</v>
      </c>
      <c r="T242" s="85" t="str">
        <f>IF(LEFT($B242,7)=RIGHT('SOP template'!$B$1,7),_xlfn.NUMBERVALUE(RIGHT($S242,2)),"")</f>
        <v/>
      </c>
      <c r="U242" s="182" t="s">
        <v>517</v>
      </c>
      <c r="V242" s="182"/>
      <c r="W242" s="182"/>
      <c r="X242" s="182" t="s">
        <v>534</v>
      </c>
      <c r="Y242" s="182" t="s">
        <v>802</v>
      </c>
      <c r="Z242" s="182"/>
      <c r="AA242" s="186">
        <f>IFERROR(VLOOKUP(IFERROR(LEFT(S242,4),""),Ref!$AF$2:$AG$5,2,0),"")</f>
        <v>36</v>
      </c>
      <c r="AB242" s="186"/>
      <c r="AC242" s="218" t="s">
        <v>169</v>
      </c>
      <c r="AD242" s="187" t="str">
        <f>IFERROR(VLOOKUP(AC242,'Training Matrix'!B$4:C$24,2,0),"")</f>
        <v>Technician</v>
      </c>
      <c r="AE242" s="221">
        <v>45792</v>
      </c>
      <c r="AF242" s="188">
        <f>IF(AE242="","",EDATE(AE242,AB$4))</f>
        <v>46522</v>
      </c>
      <c r="AG242" s="189" t="str">
        <f ca="1">IF(AE242="","",IF(TODAY()&gt;AF242,"Overdue","Current"))</f>
        <v>Current</v>
      </c>
      <c r="AH242" s="50" t="str">
        <f>IF(OR(AC242="",AE242=""),"",CONCATENATE(AC242,"_",K238,"_",L238))</f>
        <v>Person 5_ALP.BSP.SOP.014_Dermestid room use</v>
      </c>
    </row>
    <row r="243" spans="1:34" ht="30" x14ac:dyDescent="0.25">
      <c r="A243" s="5" t="str">
        <f>IF(LEFT(F243,15)='SOP template'!$B$1,1,"")</f>
        <v/>
      </c>
      <c r="B243" s="190" t="str">
        <f t="shared" si="176"/>
        <v>SOP.014.6</v>
      </c>
      <c r="C243" s="190" t="str">
        <f t="shared" si="322"/>
        <v>SOP.014.3.4</v>
      </c>
      <c r="D243" s="190" t="str">
        <f t="shared" si="323"/>
        <v>SOP.014.2.5</v>
      </c>
      <c r="E243" s="190">
        <f t="shared" si="266"/>
        <v>6</v>
      </c>
      <c r="F243" s="190" t="str">
        <f t="shared" si="177"/>
        <v>ALP.BSP.SOP.014.06</v>
      </c>
      <c r="G243" s="190" t="str">
        <f>IF(ISBLANK(N243),"",CONCATENATE(LEFT(F243,15),".",INDEX(Ref!A:A,MATCH(N243,Ref!$K$1:$K$333,0))))</f>
        <v>ALP.BSP.SOP.014.20</v>
      </c>
      <c r="H243" s="180"/>
      <c r="I243" s="217"/>
      <c r="J243" s="180"/>
      <c r="K243" s="181"/>
      <c r="L243" s="182"/>
      <c r="M243" s="182"/>
      <c r="N243" s="183" t="s">
        <v>133</v>
      </c>
      <c r="O243" s="182"/>
      <c r="P243" s="182"/>
      <c r="Q243" s="184"/>
      <c r="R243" s="184"/>
      <c r="S243" s="185" t="str">
        <f>IFERROR(CLEAN(INDEX('Risk Matrix'!$H$7:$L$11,MATCH($Q243,'Risk Matrix'!$F$7:$F$11,0),MATCH($R243,'Risk Matrix'!$H$6:$L$6,0))),"")</f>
        <v/>
      </c>
      <c r="T243" s="85" t="str">
        <f>IF(LEFT($B243,7)=RIGHT('SOP template'!$B$1,7),_xlfn.NUMBERVALUE(RIGHT($S243,2)),"")</f>
        <v/>
      </c>
      <c r="U243" s="182"/>
      <c r="V243" s="182"/>
      <c r="W243" s="182"/>
      <c r="X243" s="182" t="s">
        <v>536</v>
      </c>
      <c r="Y243" s="182" t="s">
        <v>803</v>
      </c>
      <c r="Z243" s="182"/>
      <c r="AA243" s="186" t="str">
        <f>IFERROR(VLOOKUP(IFERROR(LEFT(S243,4),""),Ref!$AF$2:$AG$5,2,0),"")</f>
        <v/>
      </c>
      <c r="AB243" s="186"/>
      <c r="AC243" s="218" t="s">
        <v>170</v>
      </c>
      <c r="AD243" s="187" t="str">
        <f>IFERROR(VLOOKUP(AC243,'Training Matrix'!B$4:C$24,2,0),"")</f>
        <v>Scientist</v>
      </c>
      <c r="AE243" s="221">
        <v>45792</v>
      </c>
      <c r="AF243" s="188">
        <f t="shared" si="274"/>
        <v>46522</v>
      </c>
      <c r="AG243" s="189" t="str">
        <f t="shared" ca="1" si="275"/>
        <v>Current</v>
      </c>
      <c r="AH243" s="50" t="str">
        <f t="shared" ref="AH243" si="324">IF(OR(AC243="",AE243=""),"",CONCATENATE(AC243,"_",K238,"_",L238))</f>
        <v>Person 6_ALP.BSP.SOP.014_Dermestid room use</v>
      </c>
    </row>
    <row r="244" spans="1:34" ht="45" x14ac:dyDescent="0.25">
      <c r="A244" s="5" t="str">
        <f>IF(LEFT(F244,15)='SOP template'!$B$1,1,"")</f>
        <v/>
      </c>
      <c r="B244" s="190" t="str">
        <f t="shared" si="176"/>
        <v>SOP.014.7</v>
      </c>
      <c r="C244" s="190" t="str">
        <f t="shared" si="322"/>
        <v>SOP.014.4</v>
      </c>
      <c r="D244" s="190" t="str">
        <f t="shared" si="323"/>
        <v>SOP.014.3</v>
      </c>
      <c r="E244" s="190">
        <f t="shared" si="266"/>
        <v>7</v>
      </c>
      <c r="F244" s="190" t="str">
        <f t="shared" si="177"/>
        <v>ALP.BSP.SOP.014.07</v>
      </c>
      <c r="G244" s="190" t="str">
        <f>IF(ISBLANK(N244),"",CONCATENATE(LEFT(F244,15),".",INDEX(Ref!A:A,MATCH(N244,Ref!$K$1:$K$333,0))))</f>
        <v/>
      </c>
      <c r="H244" s="180"/>
      <c r="I244" s="217"/>
      <c r="J244" s="180"/>
      <c r="K244" s="181"/>
      <c r="L244" s="182"/>
      <c r="M244" s="182"/>
      <c r="N244" s="183"/>
      <c r="O244" s="182"/>
      <c r="P244" s="182"/>
      <c r="Q244" s="184"/>
      <c r="R244" s="184"/>
      <c r="S244" s="185" t="str">
        <f>IFERROR(CLEAN(INDEX('Risk Matrix'!$H$7:$L$11,MATCH($Q244,'Risk Matrix'!$F$7:$F$11,0),MATCH($R244,'Risk Matrix'!$H$6:$L$6,0))),"")</f>
        <v/>
      </c>
      <c r="T244" s="85" t="str">
        <f>IF(LEFT($B244,7)=RIGHT('SOP template'!$B$1,7),_xlfn.NUMBERVALUE(RIGHT($S244,2)),"")</f>
        <v/>
      </c>
      <c r="U244" s="182"/>
      <c r="V244" s="182"/>
      <c r="W244" s="182"/>
      <c r="X244" s="182" t="s">
        <v>804</v>
      </c>
      <c r="Y244" s="182" t="s">
        <v>535</v>
      </c>
      <c r="Z244" s="182"/>
      <c r="AA244" s="186" t="str">
        <f>IFERROR(VLOOKUP(IFERROR(LEFT(S244,4),""),Ref!$AF$2:$AG$5,2,0),"")</f>
        <v/>
      </c>
      <c r="AB244" s="186"/>
      <c r="AC244" s="218"/>
      <c r="AD244" s="187" t="str">
        <f>IFERROR(VLOOKUP(AC244,'Training Matrix'!B$4:C$24,2,0),"")</f>
        <v/>
      </c>
      <c r="AE244" s="218"/>
      <c r="AF244" s="188" t="str">
        <f t="shared" si="274"/>
        <v/>
      </c>
      <c r="AG244" s="189" t="str">
        <f t="shared" ca="1" si="275"/>
        <v/>
      </c>
      <c r="AH244" s="50" t="str">
        <f t="shared" ref="AH244" si="325">IF(OR(AC244="",AE244=""),"",CONCATENATE(AC244,"_",K238,"_",L238))</f>
        <v/>
      </c>
    </row>
    <row r="245" spans="1:34" x14ac:dyDescent="0.25">
      <c r="A245" s="5" t="str">
        <f>IF(LEFT(F245,15)='SOP template'!$B$1,1,"")</f>
        <v/>
      </c>
      <c r="B245" s="190" t="str">
        <f t="shared" si="176"/>
        <v>SOP.014.8</v>
      </c>
      <c r="C245" s="190" t="str">
        <f t="shared" si="322"/>
        <v>SOP.014.4.4</v>
      </c>
      <c r="D245" s="190" t="str">
        <f t="shared" si="323"/>
        <v>SOP.014.3.3</v>
      </c>
      <c r="E245" s="190">
        <f t="shared" si="266"/>
        <v>8</v>
      </c>
      <c r="F245" s="190" t="str">
        <f t="shared" si="177"/>
        <v>ALP.BSP.SOP.014.08</v>
      </c>
      <c r="G245" s="190" t="str">
        <f>IF(ISBLANK(N245),"",CONCATENATE(LEFT(F245,15),".",INDEX(Ref!A:A,MATCH(N245,Ref!$K$1:$K$333,0))))</f>
        <v/>
      </c>
      <c r="H245" s="180"/>
      <c r="I245" s="217"/>
      <c r="J245" s="180"/>
      <c r="K245" s="181"/>
      <c r="L245" s="182"/>
      <c r="M245" s="182"/>
      <c r="N245" s="183"/>
      <c r="O245" s="182"/>
      <c r="P245" s="182"/>
      <c r="Q245" s="184"/>
      <c r="R245" s="184"/>
      <c r="S245" s="185" t="str">
        <f>IFERROR(CLEAN(INDEX('Risk Matrix'!$H$7:$L$11,MATCH($Q245,'Risk Matrix'!$F$7:$F$11,0),MATCH($R245,'Risk Matrix'!$H$6:$L$6,0))),"")</f>
        <v/>
      </c>
      <c r="T245" s="85" t="str">
        <f>IF(LEFT($B245,7)=RIGHT('SOP template'!$B$1,7),_xlfn.NUMBERVALUE(RIGHT($S245,2)),"")</f>
        <v/>
      </c>
      <c r="U245" s="182"/>
      <c r="V245" s="182"/>
      <c r="W245" s="182"/>
      <c r="X245" s="182"/>
      <c r="Y245" s="182"/>
      <c r="Z245" s="182"/>
      <c r="AA245" s="186" t="str">
        <f>IFERROR(VLOOKUP(IFERROR(LEFT(S245,4),""),Ref!$AF$2:$AG$5,2,0),"")</f>
        <v/>
      </c>
      <c r="AB245" s="186"/>
      <c r="AC245" s="218"/>
      <c r="AD245" s="187" t="str">
        <f>IFERROR(VLOOKUP(AC245,'Training Matrix'!B$4:C$24,2,0),"")</f>
        <v/>
      </c>
      <c r="AE245" s="218"/>
      <c r="AF245" s="188" t="str">
        <f t="shared" si="274"/>
        <v/>
      </c>
      <c r="AG245" s="189" t="str">
        <f t="shared" ca="1" si="275"/>
        <v/>
      </c>
      <c r="AH245" s="50" t="str">
        <f t="shared" ref="AH245" si="326">IF(OR(AC245="",AE245=""),"",CONCATENATE(AC245,"_",K238,"_",L238))</f>
        <v/>
      </c>
    </row>
    <row r="246" spans="1:34" x14ac:dyDescent="0.25">
      <c r="A246" s="5" t="str">
        <f>IF(LEFT(F246,15)='SOP template'!$B$1,1,"")</f>
        <v/>
      </c>
      <c r="B246" s="190" t="str">
        <f t="shared" si="176"/>
        <v>SOP.014.9</v>
      </c>
      <c r="C246" s="190" t="str">
        <f t="shared" si="322"/>
        <v>SOP.014.5</v>
      </c>
      <c r="D246" s="190" t="str">
        <f t="shared" si="323"/>
        <v>SOP.014.3.5</v>
      </c>
      <c r="E246" s="190">
        <f t="shared" si="266"/>
        <v>9</v>
      </c>
      <c r="F246" s="190" t="str">
        <f t="shared" si="177"/>
        <v>ALP.BSP.SOP.014.09</v>
      </c>
      <c r="G246" s="190" t="str">
        <f>IF(ISBLANK(N246),"",CONCATENATE(LEFT(F246,15),".",INDEX(Ref!A:A,MATCH(N246,Ref!$K$1:$K$333,0))))</f>
        <v/>
      </c>
      <c r="H246" s="180"/>
      <c r="I246" s="217"/>
      <c r="J246" s="180"/>
      <c r="K246" s="181"/>
      <c r="L246" s="182"/>
      <c r="M246" s="182"/>
      <c r="N246" s="183"/>
      <c r="O246" s="182"/>
      <c r="P246" s="182"/>
      <c r="Q246" s="184"/>
      <c r="R246" s="184"/>
      <c r="S246" s="185" t="str">
        <f>IFERROR(CLEAN(INDEX('Risk Matrix'!$H$7:$L$11,MATCH($Q246,'Risk Matrix'!$F$7:$F$11,0),MATCH($R246,'Risk Matrix'!$H$6:$L$6,0))),"")</f>
        <v/>
      </c>
      <c r="T246" s="85" t="str">
        <f>IF(LEFT($B246,7)=RIGHT('SOP template'!$B$1,7),_xlfn.NUMBERVALUE(RIGHT($S246,2)),"")</f>
        <v/>
      </c>
      <c r="U246" s="182"/>
      <c r="V246" s="182"/>
      <c r="W246" s="182"/>
      <c r="X246" s="182"/>
      <c r="Y246" s="182"/>
      <c r="Z246" s="182"/>
      <c r="AA246" s="186" t="str">
        <f>IFERROR(VLOOKUP(IFERROR(LEFT(S246,4),""),Ref!$AF$2:$AG$5,2,0),"")</f>
        <v/>
      </c>
      <c r="AB246" s="186"/>
      <c r="AC246" s="218"/>
      <c r="AD246" s="187" t="str">
        <f>IFERROR(VLOOKUP(AC246,'Training Matrix'!B$4:C$24,2,0),"")</f>
        <v/>
      </c>
      <c r="AE246" s="218"/>
      <c r="AF246" s="188" t="str">
        <f t="shared" si="274"/>
        <v/>
      </c>
      <c r="AG246" s="189" t="str">
        <f t="shared" ca="1" si="275"/>
        <v/>
      </c>
      <c r="AH246" s="50" t="str">
        <f t="shared" ref="AH246" si="327">IF(OR(AC246="",AE246=""),"",CONCATENATE(AC246,"_",K238,"_",L238))</f>
        <v/>
      </c>
    </row>
    <row r="247" spans="1:34" x14ac:dyDescent="0.25">
      <c r="A247" s="5" t="str">
        <f>IF(LEFT(F247,15)='SOP template'!$B$1,1,"")</f>
        <v/>
      </c>
      <c r="B247" s="190" t="str">
        <f t="shared" ref="B247:B283" si="328">CONCATENATE(LEFT(B246,8),E247)</f>
        <v>SOP.014.10</v>
      </c>
      <c r="C247" s="190" t="str">
        <f t="shared" si="322"/>
        <v>SOP.014.5.4</v>
      </c>
      <c r="D247" s="190" t="str">
        <f t="shared" si="323"/>
        <v>SOP.014.4</v>
      </c>
      <c r="E247" s="190">
        <f t="shared" si="266"/>
        <v>10</v>
      </c>
      <c r="F247" s="190" t="str">
        <f t="shared" ref="F247" si="329">IF(K247=0,LEFT(F246,16)&amp;TEXT(E247,"00"),K247&amp;"."&amp;TEXT(E247,"00"))</f>
        <v>ALP.BSP.SOP.014.10</v>
      </c>
      <c r="G247" s="190" t="str">
        <f>IF(ISBLANK(N247),"",CONCATENATE(LEFT(F247,15),".",INDEX(Ref!A:A,MATCH(N247,Ref!$K$1:$K$333,0))))</f>
        <v/>
      </c>
      <c r="H247" s="180"/>
      <c r="I247" s="217"/>
      <c r="J247" s="180"/>
      <c r="K247" s="181"/>
      <c r="L247" s="182"/>
      <c r="M247" s="182"/>
      <c r="N247" s="183"/>
      <c r="O247" s="182"/>
      <c r="P247" s="182"/>
      <c r="Q247" s="184"/>
      <c r="R247" s="184"/>
      <c r="S247" s="185" t="str">
        <f>IFERROR(CLEAN(INDEX('Risk Matrix'!$H$7:$L$11,MATCH($Q247,'Risk Matrix'!$F$7:$F$11,0),MATCH($R247,'Risk Matrix'!$H$6:$L$6,0))),"")</f>
        <v/>
      </c>
      <c r="T247" s="85" t="str">
        <f>IF(LEFT($B247,7)=RIGHT('SOP template'!$B$1,7),_xlfn.NUMBERVALUE(RIGHT($S247,2)),"")</f>
        <v/>
      </c>
      <c r="U247" s="182"/>
      <c r="V247" s="182"/>
      <c r="W247" s="182"/>
      <c r="X247" s="182"/>
      <c r="Y247" s="182"/>
      <c r="Z247" s="182"/>
      <c r="AA247" s="186" t="str">
        <f>IFERROR(VLOOKUP(IFERROR(LEFT(S247,4),""),Ref!$AF$2:$AG$5,2,0),"")</f>
        <v/>
      </c>
      <c r="AB247" s="186"/>
      <c r="AC247" s="218"/>
      <c r="AD247" s="187" t="str">
        <f>IFERROR(VLOOKUP(AC247,'Training Matrix'!B$4:C$24,2,0),"")</f>
        <v/>
      </c>
      <c r="AE247" s="218"/>
      <c r="AF247" s="188" t="str">
        <f t="shared" si="274"/>
        <v/>
      </c>
      <c r="AG247" s="189" t="str">
        <f t="shared" ca="1" si="275"/>
        <v/>
      </c>
      <c r="AH247" s="50" t="str">
        <f t="shared" ref="AH247" si="330">IF(OR(AC247="",AE247=""),"",CONCATENATE(AC247,"_",K238,"_",L238))</f>
        <v/>
      </c>
    </row>
    <row r="248" spans="1:34" x14ac:dyDescent="0.25">
      <c r="A248" s="5" t="str">
        <f>IF(LEFT(F248,15)='SOP template'!$B$1,1,"")</f>
        <v/>
      </c>
      <c r="B248" s="190" t="str">
        <f t="shared" ref="B248:B255" si="331">CONCATENATE(LEFT(B247,8),E248)</f>
        <v>SOP.014.11</v>
      </c>
      <c r="C248" s="190" t="str">
        <f t="shared" si="322"/>
        <v>SOP.014.6</v>
      </c>
      <c r="D248" s="190" t="str">
        <f t="shared" si="323"/>
        <v>SOP.014.4.3</v>
      </c>
      <c r="E248" s="190">
        <f t="shared" si="266"/>
        <v>11</v>
      </c>
      <c r="F248" s="190" t="str">
        <f t="shared" ref="F248:F255" si="332">IF(K248=0,LEFT(F247,16)&amp;TEXT(E248,"00"),K248&amp;"."&amp;TEXT(E248,"00"))</f>
        <v>ALP.BSP.SOP.014.11</v>
      </c>
      <c r="G248" s="190" t="str">
        <f>IF(ISBLANK(N248),"",CONCATENATE(LEFT(F248,15),".",INDEX(Ref!A:A,MATCH(N248,Ref!$K$1:$K$333,0))))</f>
        <v/>
      </c>
      <c r="H248" s="180"/>
      <c r="I248" s="217"/>
      <c r="J248" s="180"/>
      <c r="K248" s="181"/>
      <c r="L248" s="182"/>
      <c r="M248" s="182"/>
      <c r="N248" s="183"/>
      <c r="O248" s="182"/>
      <c r="P248" s="182"/>
      <c r="Q248" s="184"/>
      <c r="R248" s="184"/>
      <c r="S248" s="185" t="str">
        <f>IFERROR(CLEAN(INDEX('Risk Matrix'!$H$7:$L$11,MATCH($Q248,'Risk Matrix'!$F$7:$F$11,0),MATCH($R248,'Risk Matrix'!$H$6:$L$6,0))),"")</f>
        <v/>
      </c>
      <c r="T248" s="85" t="str">
        <f>IF(LEFT($B248,7)=RIGHT('SOP template'!$B$1,7),_xlfn.NUMBERVALUE(RIGHT($S248,2)),"")</f>
        <v/>
      </c>
      <c r="U248" s="182"/>
      <c r="V248" s="182"/>
      <c r="W248" s="182"/>
      <c r="X248" s="182"/>
      <c r="Y248" s="182"/>
      <c r="Z248" s="182"/>
      <c r="AA248" s="186" t="str">
        <f>IFERROR(VLOOKUP(IFERROR(LEFT(S248,4),""),Ref!$AF$2:$AG$5,2,0),"")</f>
        <v/>
      </c>
      <c r="AB248" s="186"/>
      <c r="AC248" s="218"/>
      <c r="AD248" s="187" t="str">
        <f>IFERROR(VLOOKUP(AC248,'Training Matrix'!B$4:C$24,2,0),"")</f>
        <v/>
      </c>
      <c r="AE248" s="218"/>
      <c r="AF248" s="188" t="str">
        <f t="shared" si="274"/>
        <v/>
      </c>
      <c r="AG248" s="189" t="str">
        <f t="shared" ca="1" si="275"/>
        <v/>
      </c>
      <c r="AH248" s="50" t="str">
        <f t="shared" ref="AH248" si="333">IF(OR(AC248="",AE248=""),"",CONCATENATE(AC248,"_",K238,"_",L238))</f>
        <v/>
      </c>
    </row>
    <row r="249" spans="1:34" x14ac:dyDescent="0.25">
      <c r="A249" s="5" t="str">
        <f>IF(LEFT(F249,15)='SOP template'!$B$1,1,"")</f>
        <v/>
      </c>
      <c r="B249" s="190" t="str">
        <f t="shared" si="331"/>
        <v>SOP.014.12</v>
      </c>
      <c r="C249" s="190" t="str">
        <f t="shared" si="322"/>
        <v>SOP.014.6.4</v>
      </c>
      <c r="D249" s="190" t="str">
        <f t="shared" si="323"/>
        <v>SOP.014.4.5</v>
      </c>
      <c r="E249" s="190">
        <f t="shared" si="266"/>
        <v>12</v>
      </c>
      <c r="F249" s="190" t="str">
        <f t="shared" si="332"/>
        <v>ALP.BSP.SOP.014.12</v>
      </c>
      <c r="G249" s="190" t="str">
        <f>IF(ISBLANK(N249),"",CONCATENATE(LEFT(F249,15),".",INDEX(Ref!A:A,MATCH(N249,Ref!$K$1:$K$333,0))))</f>
        <v/>
      </c>
      <c r="H249" s="180"/>
      <c r="I249" s="217"/>
      <c r="J249" s="180"/>
      <c r="K249" s="181"/>
      <c r="L249" s="182"/>
      <c r="M249" s="182"/>
      <c r="N249" s="183"/>
      <c r="O249" s="182"/>
      <c r="P249" s="182"/>
      <c r="Q249" s="184"/>
      <c r="R249" s="184"/>
      <c r="S249" s="185" t="str">
        <f>IFERROR(CLEAN(INDEX('Risk Matrix'!$H$7:$L$11,MATCH($Q249,'Risk Matrix'!$F$7:$F$11,0),MATCH($R249,'Risk Matrix'!$H$6:$L$6,0))),"")</f>
        <v/>
      </c>
      <c r="T249" s="85" t="str">
        <f>IF(LEFT($B249,7)=RIGHT('SOP template'!$B$1,7),_xlfn.NUMBERVALUE(RIGHT($S249,2)),"")</f>
        <v/>
      </c>
      <c r="U249" s="182"/>
      <c r="V249" s="182"/>
      <c r="W249" s="182"/>
      <c r="X249" s="182"/>
      <c r="Y249" s="182"/>
      <c r="Z249" s="182"/>
      <c r="AA249" s="186" t="str">
        <f>IFERROR(VLOOKUP(IFERROR(LEFT(S249,4),""),Ref!$AF$2:$AG$5,2,0),"")</f>
        <v/>
      </c>
      <c r="AB249" s="186"/>
      <c r="AC249" s="218"/>
      <c r="AD249" s="187" t="str">
        <f>IFERROR(VLOOKUP(AC249,'Training Matrix'!B$4:C$24,2,0),"")</f>
        <v/>
      </c>
      <c r="AE249" s="218"/>
      <c r="AF249" s="188" t="str">
        <f t="shared" si="274"/>
        <v/>
      </c>
      <c r="AG249" s="189" t="str">
        <f t="shared" ca="1" si="275"/>
        <v/>
      </c>
      <c r="AH249" s="50" t="str">
        <f t="shared" ref="AH249" si="334">IF(OR(AC249="",AE249=""),"",CONCATENATE(AC249,"_",K238,"_",L238))</f>
        <v/>
      </c>
    </row>
    <row r="250" spans="1:34" x14ac:dyDescent="0.25">
      <c r="A250" s="5" t="str">
        <f>IF(LEFT(F250,15)='SOP template'!$B$1,1,"")</f>
        <v/>
      </c>
      <c r="B250" s="190" t="str">
        <f t="shared" si="331"/>
        <v>SOP.014.13</v>
      </c>
      <c r="C250" s="190" t="str">
        <f t="shared" si="322"/>
        <v>SOP.014.</v>
      </c>
      <c r="D250" s="190" t="str">
        <f t="shared" si="323"/>
        <v>SOP.014.</v>
      </c>
      <c r="E250" s="190">
        <f t="shared" si="266"/>
        <v>13</v>
      </c>
      <c r="F250" s="190" t="str">
        <f t="shared" si="332"/>
        <v>ALP.BSP.SOP.014.13</v>
      </c>
      <c r="G250" s="190" t="str">
        <f>IF(ISBLANK(N250),"",CONCATENATE(LEFT(F250,15),".",INDEX(Ref!A:A,MATCH(N250,Ref!$K$1:$K$333,0))))</f>
        <v/>
      </c>
      <c r="H250" s="180"/>
      <c r="I250" s="217"/>
      <c r="J250" s="180"/>
      <c r="K250" s="181"/>
      <c r="L250" s="182"/>
      <c r="M250" s="182"/>
      <c r="N250" s="183"/>
      <c r="O250" s="182"/>
      <c r="P250" s="182"/>
      <c r="Q250" s="184"/>
      <c r="R250" s="184"/>
      <c r="S250" s="185" t="str">
        <f>IFERROR(CLEAN(INDEX('Risk Matrix'!$H$7:$L$11,MATCH($Q250,'Risk Matrix'!$F$7:$F$11,0),MATCH($R250,'Risk Matrix'!$H$6:$L$6,0))),"")</f>
        <v/>
      </c>
      <c r="T250" s="85" t="str">
        <f>IF(LEFT($B250,7)=RIGHT('SOP template'!$B$1,7),_xlfn.NUMBERVALUE(RIGHT($S250,2)),"")</f>
        <v/>
      </c>
      <c r="U250" s="182"/>
      <c r="V250" s="182"/>
      <c r="W250" s="182"/>
      <c r="X250" s="182"/>
      <c r="Y250" s="182"/>
      <c r="Z250" s="182"/>
      <c r="AA250" s="186" t="str">
        <f>IFERROR(VLOOKUP(IFERROR(LEFT(S250,4),""),Ref!$AF$2:$AG$5,2,0),"")</f>
        <v/>
      </c>
      <c r="AB250" s="186"/>
      <c r="AC250" s="218"/>
      <c r="AD250" s="187" t="str">
        <f>IFERROR(VLOOKUP(AC250,'Training Matrix'!B$4:C$24,2,0),"")</f>
        <v/>
      </c>
      <c r="AE250" s="218"/>
      <c r="AF250" s="188" t="str">
        <f t="shared" si="274"/>
        <v/>
      </c>
      <c r="AG250" s="189" t="str">
        <f t="shared" ca="1" si="275"/>
        <v/>
      </c>
      <c r="AH250" s="50" t="str">
        <f t="shared" ref="AH250" si="335">IF(OR(AC250="",AE250=""),"",CONCATENATE(AC250,"_",K238,"_",L238))</f>
        <v/>
      </c>
    </row>
    <row r="251" spans="1:34" x14ac:dyDescent="0.25">
      <c r="A251" s="5" t="str">
        <f>IF(LEFT(F251,15)='SOP template'!$B$1,1,"")</f>
        <v/>
      </c>
      <c r="B251" s="190" t="str">
        <f t="shared" si="331"/>
        <v>SOP.014.14</v>
      </c>
      <c r="C251" s="190" t="str">
        <f t="shared" si="322"/>
        <v>SOP.014.</v>
      </c>
      <c r="D251" s="190" t="str">
        <f t="shared" si="323"/>
        <v>SOP.014.</v>
      </c>
      <c r="E251" s="190">
        <f t="shared" si="266"/>
        <v>14</v>
      </c>
      <c r="F251" s="190" t="str">
        <f t="shared" si="332"/>
        <v>ALP.BSP.SOP.014.14</v>
      </c>
      <c r="G251" s="190" t="str">
        <f>IF(ISBLANK(N251),"",CONCATENATE(LEFT(F251,15),".",INDEX(Ref!A:A,MATCH(N251,Ref!$K$1:$K$333,0))))</f>
        <v/>
      </c>
      <c r="H251" s="180"/>
      <c r="I251" s="217"/>
      <c r="J251" s="180"/>
      <c r="K251" s="181"/>
      <c r="L251" s="182"/>
      <c r="M251" s="182"/>
      <c r="N251" s="183"/>
      <c r="O251" s="182"/>
      <c r="P251" s="182"/>
      <c r="Q251" s="184"/>
      <c r="R251" s="184"/>
      <c r="S251" s="185" t="str">
        <f>IFERROR(CLEAN(INDEX('Risk Matrix'!$H$7:$L$11,MATCH($Q251,'Risk Matrix'!$F$7:$F$11,0),MATCH($R251,'Risk Matrix'!$H$6:$L$6,0))),"")</f>
        <v/>
      </c>
      <c r="T251" s="85" t="str">
        <f>IF(LEFT($B251,7)=RIGHT('SOP template'!$B$1,7),_xlfn.NUMBERVALUE(RIGHT($S251,2)),"")</f>
        <v/>
      </c>
      <c r="U251" s="182"/>
      <c r="V251" s="182"/>
      <c r="W251" s="182"/>
      <c r="X251" s="182"/>
      <c r="Y251" s="182"/>
      <c r="Z251" s="182"/>
      <c r="AA251" s="186" t="str">
        <f>IFERROR(VLOOKUP(IFERROR(LEFT(S251,4),""),Ref!$AF$2:$AG$5,2,0),"")</f>
        <v/>
      </c>
      <c r="AB251" s="186"/>
      <c r="AC251" s="218"/>
      <c r="AD251" s="187" t="str">
        <f>IFERROR(VLOOKUP(AC251,'Training Matrix'!B$4:C$24,2,0),"")</f>
        <v/>
      </c>
      <c r="AE251" s="218"/>
      <c r="AF251" s="188" t="str">
        <f t="shared" si="274"/>
        <v/>
      </c>
      <c r="AG251" s="189" t="str">
        <f t="shared" ca="1" si="275"/>
        <v/>
      </c>
      <c r="AH251" s="50" t="str">
        <f t="shared" ref="AH251" si="336">IF(OR(AC251="",AE251=""),"",CONCATENATE(AC251,"_",K238,"_",L238))</f>
        <v/>
      </c>
    </row>
    <row r="252" spans="1:34" x14ac:dyDescent="0.25">
      <c r="A252" s="5" t="str">
        <f>IF(LEFT(F252,15)='SOP template'!$B$1,1,"")</f>
        <v/>
      </c>
      <c r="B252" s="190" t="str">
        <f t="shared" si="331"/>
        <v>SOP.014.15</v>
      </c>
      <c r="C252" s="190" t="str">
        <f t="shared" si="322"/>
        <v>SOP.014.</v>
      </c>
      <c r="D252" s="190" t="str">
        <f t="shared" si="323"/>
        <v>SOP.014.</v>
      </c>
      <c r="E252" s="190">
        <f t="shared" si="266"/>
        <v>15</v>
      </c>
      <c r="F252" s="190" t="str">
        <f t="shared" si="332"/>
        <v>ALP.BSP.SOP.014.15</v>
      </c>
      <c r="G252" s="190" t="str">
        <f>IF(ISBLANK(N252),"",CONCATENATE(LEFT(F252,15),".",INDEX(Ref!A:A,MATCH(N252,Ref!$K$1:$K$333,0))))</f>
        <v/>
      </c>
      <c r="H252" s="180"/>
      <c r="I252" s="217"/>
      <c r="J252" s="180"/>
      <c r="K252" s="181"/>
      <c r="L252" s="182"/>
      <c r="M252" s="182"/>
      <c r="N252" s="183"/>
      <c r="O252" s="182"/>
      <c r="P252" s="182"/>
      <c r="Q252" s="184"/>
      <c r="R252" s="184"/>
      <c r="S252" s="185" t="str">
        <f>IFERROR(CLEAN(INDEX('Risk Matrix'!$H$7:$L$11,MATCH($Q252,'Risk Matrix'!$F$7:$F$11,0),MATCH($R252,'Risk Matrix'!$H$6:$L$6,0))),"")</f>
        <v/>
      </c>
      <c r="T252" s="85" t="str">
        <f>IF(LEFT($B252,7)=RIGHT('SOP template'!$B$1,7),_xlfn.NUMBERVALUE(RIGHT($S252,2)),"")</f>
        <v/>
      </c>
      <c r="U252" s="182"/>
      <c r="V252" s="182"/>
      <c r="W252" s="182"/>
      <c r="X252" s="182"/>
      <c r="Y252" s="182"/>
      <c r="Z252" s="182"/>
      <c r="AA252" s="186" t="str">
        <f>IFERROR(VLOOKUP(IFERROR(LEFT(S252,4),""),Ref!$AF$2:$AG$5,2,0),"")</f>
        <v/>
      </c>
      <c r="AB252" s="186"/>
      <c r="AC252" s="218"/>
      <c r="AD252" s="187" t="str">
        <f>IFERROR(VLOOKUP(AC252,'Training Matrix'!B$4:C$24,2,0),"")</f>
        <v/>
      </c>
      <c r="AE252" s="218"/>
      <c r="AF252" s="188" t="str">
        <f t="shared" si="274"/>
        <v/>
      </c>
      <c r="AG252" s="189" t="str">
        <f t="shared" ca="1" si="275"/>
        <v/>
      </c>
      <c r="AH252" s="50" t="str">
        <f t="shared" ref="AH252" si="337">IF(OR(AC252="",AE252=""),"",CONCATENATE(AC252,"_",K238,"_",L238))</f>
        <v/>
      </c>
    </row>
    <row r="253" spans="1:34" x14ac:dyDescent="0.25">
      <c r="A253" s="5" t="str">
        <f>IF(LEFT(F253,15)='SOP template'!$B$1,1,"")</f>
        <v/>
      </c>
      <c r="B253" s="190" t="str">
        <f t="shared" si="331"/>
        <v>SOP.014.16</v>
      </c>
      <c r="C253" s="190" t="str">
        <f t="shared" si="322"/>
        <v>SOP.014.</v>
      </c>
      <c r="D253" s="190" t="str">
        <f t="shared" si="323"/>
        <v>SOP.014.</v>
      </c>
      <c r="E253" s="190">
        <f t="shared" si="266"/>
        <v>16</v>
      </c>
      <c r="F253" s="190" t="str">
        <f t="shared" si="332"/>
        <v>ALP.BSP.SOP.014.16</v>
      </c>
      <c r="G253" s="190" t="str">
        <f>IF(ISBLANK(N253),"",CONCATENATE(LEFT(F253,15),".",INDEX(Ref!A:A,MATCH(N253,Ref!$K$1:$K$333,0))))</f>
        <v/>
      </c>
      <c r="H253" s="180"/>
      <c r="I253" s="217"/>
      <c r="J253" s="180"/>
      <c r="K253" s="181"/>
      <c r="L253" s="182"/>
      <c r="M253" s="182"/>
      <c r="N253" s="183"/>
      <c r="O253" s="182"/>
      <c r="P253" s="182"/>
      <c r="Q253" s="184"/>
      <c r="R253" s="184"/>
      <c r="S253" s="185" t="str">
        <f>IFERROR(CLEAN(INDEX('Risk Matrix'!$H$7:$L$11,MATCH($Q253,'Risk Matrix'!$F$7:$F$11,0),MATCH($R253,'Risk Matrix'!$H$6:$L$6,0))),"")</f>
        <v/>
      </c>
      <c r="T253" s="85" t="str">
        <f>IF(LEFT($B253,7)=RIGHT('SOP template'!$B$1,7),_xlfn.NUMBERVALUE(RIGHT($S253,2)),"")</f>
        <v/>
      </c>
      <c r="U253" s="182"/>
      <c r="V253" s="182"/>
      <c r="W253" s="182"/>
      <c r="X253" s="182"/>
      <c r="Y253" s="182"/>
      <c r="Z253" s="182"/>
      <c r="AA253" s="186" t="str">
        <f>IFERROR(VLOOKUP(IFERROR(LEFT(S253,4),""),Ref!$AF$2:$AG$5,2,0),"")</f>
        <v/>
      </c>
      <c r="AB253" s="186"/>
      <c r="AC253" s="218"/>
      <c r="AD253" s="187" t="str">
        <f>IFERROR(VLOOKUP(AC253,'Training Matrix'!B$4:C$24,2,0),"")</f>
        <v/>
      </c>
      <c r="AE253" s="218"/>
      <c r="AF253" s="188" t="str">
        <f t="shared" si="274"/>
        <v/>
      </c>
      <c r="AG253" s="189" t="str">
        <f t="shared" ca="1" si="275"/>
        <v/>
      </c>
      <c r="AH253" s="50" t="str">
        <f t="shared" ref="AH253" si="338">IF(OR(AC253="",AE253=""),"",CONCATENATE(AC253,"_",K238,"_",L238))</f>
        <v/>
      </c>
    </row>
    <row r="254" spans="1:34" x14ac:dyDescent="0.25">
      <c r="A254" s="5" t="str">
        <f>IF(LEFT(F254,15)='SOP template'!$B$1,1,"")</f>
        <v/>
      </c>
      <c r="B254" s="190" t="str">
        <f t="shared" si="331"/>
        <v>SOP.014.17</v>
      </c>
      <c r="C254" s="190" t="str">
        <f t="shared" si="322"/>
        <v>SOP.014.</v>
      </c>
      <c r="D254" s="190" t="str">
        <f t="shared" si="323"/>
        <v>SOP.014.</v>
      </c>
      <c r="E254" s="190">
        <f t="shared" si="266"/>
        <v>17</v>
      </c>
      <c r="F254" s="190" t="str">
        <f t="shared" si="332"/>
        <v>ALP.BSP.SOP.014.17</v>
      </c>
      <c r="G254" s="190" t="str">
        <f>IF(ISBLANK(N254),"",CONCATENATE(LEFT(F254,15),".",INDEX(Ref!A:A,MATCH(N254,Ref!$K$1:$K$333,0))))</f>
        <v/>
      </c>
      <c r="H254" s="180"/>
      <c r="I254" s="217"/>
      <c r="J254" s="180"/>
      <c r="K254" s="181"/>
      <c r="L254" s="182"/>
      <c r="M254" s="182"/>
      <c r="N254" s="183"/>
      <c r="O254" s="182"/>
      <c r="P254" s="182"/>
      <c r="Q254" s="184"/>
      <c r="R254" s="184"/>
      <c r="S254" s="185" t="str">
        <f>IFERROR(CLEAN(INDEX('Risk Matrix'!$H$7:$L$11,MATCH($Q254,'Risk Matrix'!$F$7:$F$11,0),MATCH($R254,'Risk Matrix'!$H$6:$L$6,0))),"")</f>
        <v/>
      </c>
      <c r="T254" s="85" t="str">
        <f>IF(LEFT($B254,7)=RIGHT('SOP template'!$B$1,7),_xlfn.NUMBERVALUE(RIGHT($S254,2)),"")</f>
        <v/>
      </c>
      <c r="U254" s="182"/>
      <c r="V254" s="182"/>
      <c r="W254" s="182"/>
      <c r="X254" s="182"/>
      <c r="Y254" s="182"/>
      <c r="Z254" s="182"/>
      <c r="AA254" s="186" t="str">
        <f>IFERROR(VLOOKUP(IFERROR(LEFT(S254,4),""),Ref!$AF$2:$AG$5,2,0),"")</f>
        <v/>
      </c>
      <c r="AB254" s="186"/>
      <c r="AC254" s="218"/>
      <c r="AD254" s="187" t="str">
        <f>IFERROR(VLOOKUP(AC254,'Training Matrix'!B$4:C$24,2,0),"")</f>
        <v/>
      </c>
      <c r="AE254" s="218"/>
      <c r="AF254" s="188" t="str">
        <f t="shared" si="274"/>
        <v/>
      </c>
      <c r="AG254" s="189" t="str">
        <f t="shared" ca="1" si="275"/>
        <v/>
      </c>
      <c r="AH254" s="50" t="str">
        <f t="shared" ref="AH254" si="339">IF(OR(AC254="",AE254=""),"",CONCATENATE(AC254,"_",K238,"_",L238))</f>
        <v/>
      </c>
    </row>
    <row r="255" spans="1:34" x14ac:dyDescent="0.25">
      <c r="A255" s="5" t="str">
        <f>IF(LEFT(F255,15)='SOP template'!$B$1,1,"")</f>
        <v/>
      </c>
      <c r="B255" s="190" t="str">
        <f t="shared" si="331"/>
        <v>SOP.014.18</v>
      </c>
      <c r="C255" s="190" t="str">
        <f t="shared" si="322"/>
        <v>SOP.014.</v>
      </c>
      <c r="D255" s="190" t="str">
        <f t="shared" si="323"/>
        <v>SOP.014.</v>
      </c>
      <c r="E255" s="190">
        <f t="shared" si="266"/>
        <v>18</v>
      </c>
      <c r="F255" s="190" t="str">
        <f t="shared" si="332"/>
        <v>ALP.BSP.SOP.014.18</v>
      </c>
      <c r="G255" s="190" t="str">
        <f>IF(ISBLANK(N255),"",CONCATENATE(LEFT(F255,15),".",INDEX(Ref!A:A,MATCH(N255,Ref!$K$1:$K$333,0))))</f>
        <v/>
      </c>
      <c r="H255" s="180"/>
      <c r="I255" s="217"/>
      <c r="J255" s="180"/>
      <c r="K255" s="181"/>
      <c r="L255" s="182"/>
      <c r="M255" s="182"/>
      <c r="N255" s="183"/>
      <c r="O255" s="182"/>
      <c r="P255" s="182"/>
      <c r="Q255" s="184"/>
      <c r="R255" s="184"/>
      <c r="S255" s="185" t="str">
        <f>IFERROR(CLEAN(INDEX('Risk Matrix'!$H$7:$L$11,MATCH($Q255,'Risk Matrix'!$F$7:$F$11,0),MATCH($R255,'Risk Matrix'!$H$6:$L$6,0))),"")</f>
        <v/>
      </c>
      <c r="T255" s="85" t="str">
        <f>IF(LEFT($B255,7)=RIGHT('SOP template'!$B$1,7),_xlfn.NUMBERVALUE(RIGHT($S255,2)),"")</f>
        <v/>
      </c>
      <c r="U255" s="182"/>
      <c r="V255" s="182"/>
      <c r="W255" s="182"/>
      <c r="X255" s="182"/>
      <c r="Y255" s="182"/>
      <c r="Z255" s="182"/>
      <c r="AA255" s="186" t="str">
        <f>IFERROR(VLOOKUP(IFERROR(LEFT(S255,4),""),Ref!$AF$2:$AG$5,2,0),"")</f>
        <v/>
      </c>
      <c r="AB255" s="186"/>
      <c r="AC255" s="218"/>
      <c r="AD255" s="187" t="str">
        <f>IFERROR(VLOOKUP(AC255,'Training Matrix'!B$4:C$24,2,0),"")</f>
        <v/>
      </c>
      <c r="AE255" s="218"/>
      <c r="AF255" s="188" t="str">
        <f t="shared" si="274"/>
        <v/>
      </c>
      <c r="AG255" s="189" t="str">
        <f t="shared" ca="1" si="275"/>
        <v/>
      </c>
      <c r="AH255" s="50" t="str">
        <f t="shared" ref="AH255" si="340">IF(OR(AC255="",AE255=""),"",CONCATENATE(AC255,"_",K238,"_",L238))</f>
        <v/>
      </c>
    </row>
    <row r="256" spans="1:34" ht="105" x14ac:dyDescent="0.25">
      <c r="A256" s="5" t="str">
        <f>IF(LEFT(F256,15)='SOP template'!$B$1,1,"")</f>
        <v/>
      </c>
      <c r="B256" s="179" t="str">
        <f t="shared" ref="B256" si="341">IF(ISBLANK($K256),CONCATENATE($B$2,".",TEXT(J256,"000"),".",$E256),CONCATENATE(RIGHT($K256,7),".1"))</f>
        <v>SOP.015.1</v>
      </c>
      <c r="C256" s="179" t="str">
        <f>IF(ISBLANK($K256),CONCATENATE(LEFT($B184,8),IF($E256=1,1.1,IF($E256=2,1.4,IF($E256=3,2,IF($E256=4,2.4,IF($E256=5,3,IF($E256=6,3.4,IF($E256=7,4,IF($E256=8,4.4,IF($E256=9,5,IF($E256=10,5.4,IF($E256=11,6,IF($E256=12,6.4,""))))))))))))),CONCATENATE(RIGHT($K256,7),".1"))</f>
        <v>SOP.015.1</v>
      </c>
      <c r="D256" s="179" t="str">
        <f>IF(ISBLANK($K256),CONCATENATE(LEFT($B184,8),IF($E256=1,1,IF($E256=2,1.3,IF($E256=3,1.5,IF($E256=4,2,IF($E256=5,2.3,IF($E256=6,2.5,IF($E256=7,3,IF($E256=8,3.3,IF($E256=9,3.5,IF($E256=10,4,IF($E256=11,4.3,IF($E256=12,4.5,""))))))))))))),CONCATENATE(RIGHT($K256,7),".1"))</f>
        <v>SOP.015.1</v>
      </c>
      <c r="E256" s="179">
        <f t="shared" si="266"/>
        <v>1</v>
      </c>
      <c r="F256" s="179" t="str">
        <f t="shared" ref="F256" si="342">K256&amp;"."&amp;TEXT(E256,"00")</f>
        <v>ALP.BSP.SOP.015.01</v>
      </c>
      <c r="G256" s="179" t="str">
        <f>IF(ISBLANK(N256),"",CONCATENATE(LEFT(F256,15),".",INDEX(Ref!A:A,MATCH(N256,Ref!$K$1:$K$333,0))))</f>
        <v>ALP.BSP.SOP.015.1</v>
      </c>
      <c r="H256" s="217" t="s">
        <v>394</v>
      </c>
      <c r="I256" s="217" t="s">
        <v>275</v>
      </c>
      <c r="J256" s="180">
        <v>15</v>
      </c>
      <c r="K256" s="181" t="str">
        <f>IFERROR(CONCATENATE(INDEX(Ref!$Z$2:$Z$8,MATCH(H256,Ref!$AA$2:$AA$8,0)),".",I256,".SOP.",TEXT(J256,"000")),CONCATENATE(H256,".",I256,".SOP.",TEXT(J256,"000")))</f>
        <v>ALP.BSP.SOP.015</v>
      </c>
      <c r="L256" s="191" t="s">
        <v>978</v>
      </c>
      <c r="M256" s="182" t="s">
        <v>979</v>
      </c>
      <c r="N256" s="183" t="s">
        <v>117</v>
      </c>
      <c r="O256" s="182" t="s">
        <v>411</v>
      </c>
      <c r="P256" s="182" t="s">
        <v>636</v>
      </c>
      <c r="Q256" s="184" t="s">
        <v>89</v>
      </c>
      <c r="R256" s="184" t="s">
        <v>90</v>
      </c>
      <c r="S256" s="185" t="str">
        <f>IFERROR(CLEAN(INDEX('Risk Matrix'!$H$7:$L$11,MATCH($Q256,'Risk Matrix'!$F$7:$F$11,0),MATCH($R256,'Risk Matrix'!$H$6:$L$6,0))),"")</f>
        <v>Medium 2</v>
      </c>
      <c r="T256" s="85" t="str">
        <f>IF(LEFT($B256,7)=RIGHT('SOP template'!$B$1,7),_xlfn.NUMBERVALUE(RIGHT($S256,2)),"")</f>
        <v/>
      </c>
      <c r="U256" s="182" t="s">
        <v>805</v>
      </c>
      <c r="V256" s="182" t="s">
        <v>806</v>
      </c>
      <c r="W256" s="182" t="s">
        <v>807</v>
      </c>
      <c r="X256" s="182" t="s">
        <v>808</v>
      </c>
      <c r="Y256" s="182" t="s">
        <v>809</v>
      </c>
      <c r="Z256" s="182" t="s">
        <v>650</v>
      </c>
      <c r="AA256" s="186">
        <f>IFERROR(VLOOKUP(IFERROR(LEFT(S256,4),""),Ref!$AF$2:$AG$5,2,0),"")</f>
        <v>24</v>
      </c>
      <c r="AB256" s="186">
        <f>MIN($AA$256:$AA$273)</f>
        <v>24</v>
      </c>
      <c r="AC256" s="218" t="s">
        <v>289</v>
      </c>
      <c r="AD256" s="187" t="str">
        <f>IFERROR(VLOOKUP(AC256,'Training Matrix'!B$4:C$24,2,0),"")</f>
        <v>Dock Manager</v>
      </c>
      <c r="AE256" s="221">
        <v>45792</v>
      </c>
      <c r="AF256" s="188">
        <f t="shared" si="274"/>
        <v>46522</v>
      </c>
      <c r="AG256" s="189" t="str">
        <f t="shared" ca="1" si="275"/>
        <v>Current</v>
      </c>
      <c r="AH256" s="50" t="str">
        <f t="shared" ref="AH256" si="343">IF(OR(AC256="",AE256=""),"",CONCATENATE(AC256,"_",K256,"_",L256))</f>
        <v>Person 1_ALP.BSP.SOP.015_General Operation and Cleaning</v>
      </c>
    </row>
    <row r="257" spans="1:34" ht="45" x14ac:dyDescent="0.25">
      <c r="A257" s="5" t="str">
        <f>IF(LEFT(F257,15)='SOP template'!$B$1,1,"")</f>
        <v/>
      </c>
      <c r="B257" s="190" t="str">
        <f t="shared" ref="B257" si="344">CONCATENATE(LEFT(B256,8),E257)</f>
        <v>SOP.015.2</v>
      </c>
      <c r="C257" s="190" t="str">
        <f>IF(ISBLANK($K257),CONCATENATE(LEFT($B256,8),IF($E257=1,1.1,IF($E257=2,1.4,IF($E257=3,2,IF($E257=4,2.4,IF($E257=5,3,IF($E257=6,3.4,IF($E257=7,4,IF($E257=8,4.4,IF($E257=9,5,IF($E257=10,5.4,IF($E257=11,6,IF($E257=12,6.4,""))))))))))))),CONCATENATE(RIGHT($K257,7),".1"))</f>
        <v>SOP.015.1.4</v>
      </c>
      <c r="D257" s="190" t="str">
        <f>IF(ISBLANK($K257),CONCATENATE(LEFT($B256,8),IF($E257=1,1,IF($E257=2,1.3,IF($E257=3,1.5,IF($E257=4,2,IF($E257=5,2.3,IF($E257=6,2.5,IF($E257=7,3,IF($E257=8,3.3,IF($E257=9,3.5,IF($E257=10,4,IF($E257=11,4.3,IF($E257=12,4.5,""))))))))))))),CONCATENATE(RIGHT($K257,7),".1"))</f>
        <v>SOP.015.1.3</v>
      </c>
      <c r="E257" s="190">
        <f t="shared" si="266"/>
        <v>2</v>
      </c>
      <c r="F257" s="190" t="str">
        <f t="shared" ref="F257:F283" si="345">IF(K257=0,LEFT(F256,16)&amp;TEXT(E257,"00"),K257&amp;"."&amp;TEXT(E257,"00"))</f>
        <v>ALP.BSP.SOP.015.02</v>
      </c>
      <c r="G257" s="190" t="str">
        <f>IF(ISBLANK(N257),"",CONCATENATE(LEFT(F257,15),".",INDEX(Ref!A:A,MATCH(N257,Ref!$K$1:$K$333,0))))</f>
        <v>ALP.BSP.SOP.015.5</v>
      </c>
      <c r="H257" s="181"/>
      <c r="I257" s="183"/>
      <c r="J257" s="181"/>
      <c r="K257" s="181"/>
      <c r="L257" s="182"/>
      <c r="M257" s="182"/>
      <c r="N257" s="183" t="s">
        <v>120</v>
      </c>
      <c r="O257" s="182" t="s">
        <v>508</v>
      </c>
      <c r="P257" s="182" t="s">
        <v>980</v>
      </c>
      <c r="Q257" s="184" t="s">
        <v>89</v>
      </c>
      <c r="R257" s="184" t="s">
        <v>90</v>
      </c>
      <c r="S257" s="185" t="str">
        <f>IFERROR(CLEAN(INDEX('Risk Matrix'!$H$7:$L$11,MATCH($Q257,'Risk Matrix'!$F$7:$F$11,0),MATCH($R257,'Risk Matrix'!$H$6:$L$6,0))),"")</f>
        <v>Medium 2</v>
      </c>
      <c r="T257" s="85" t="str">
        <f>IF(LEFT($B257,7)=RIGHT('SOP template'!$B$1,7),_xlfn.NUMBERVALUE(RIGHT($S257,2)),"")</f>
        <v/>
      </c>
      <c r="U257" s="182" t="s">
        <v>517</v>
      </c>
      <c r="V257" s="182" t="s">
        <v>810</v>
      </c>
      <c r="W257" s="182" t="s">
        <v>811</v>
      </c>
      <c r="X257" s="182" t="s">
        <v>812</v>
      </c>
      <c r="Y257" s="182" t="s">
        <v>813</v>
      </c>
      <c r="Z257" s="182" t="s">
        <v>656</v>
      </c>
      <c r="AA257" s="186">
        <f>IFERROR(VLOOKUP(IFERROR(LEFT(S257,4),""),Ref!$AF$2:$AG$5,2,0),"")</f>
        <v>24</v>
      </c>
      <c r="AB257" s="186"/>
      <c r="AC257" s="218" t="s">
        <v>290</v>
      </c>
      <c r="AD257" s="187" t="str">
        <f>IFERROR(VLOOKUP(AC257,'Training Matrix'!B$4:C$24,2,0),"")</f>
        <v>WHS Team member</v>
      </c>
      <c r="AE257" s="221">
        <v>45792</v>
      </c>
      <c r="AF257" s="188">
        <f t="shared" si="274"/>
        <v>46522</v>
      </c>
      <c r="AG257" s="189" t="str">
        <f t="shared" ca="1" si="275"/>
        <v>Current</v>
      </c>
      <c r="AH257" s="50" t="str">
        <f t="shared" ref="AH257" si="346">IF(OR(AC257="",AE257=""),"",CONCATENATE(AC257,"_",K256,"_",L256))</f>
        <v>Person 2_ALP.BSP.SOP.015_General Operation and Cleaning</v>
      </c>
    </row>
    <row r="258" spans="1:34" ht="45" x14ac:dyDescent="0.25">
      <c r="A258" s="5" t="str">
        <f>IF(LEFT(F258,15)='SOP template'!$B$1,1,"")</f>
        <v/>
      </c>
      <c r="B258" s="190" t="str">
        <f t="shared" si="328"/>
        <v>SOP.015.3</v>
      </c>
      <c r="C258" s="190" t="str">
        <f t="shared" ref="C258:C273" si="347">IF(ISBLANK($K258),CONCATENATE(LEFT($B257,8),IF($E258=1,1.1,IF($E258=2,1.4,IF($E258=3,2,IF($E258=4,2.4,IF($E258=5,3,IF($E258=6,3.4,IF($E258=7,4,IF($E258=8,4.4,IF($E258=9,5,IF($E258=10,5.4,IF($E258=11,6,IF($E258=12,6.4,""))))))))))))),CONCATENATE(RIGHT($K258,7),".1"))</f>
        <v>SOP.015.2</v>
      </c>
      <c r="D258" s="190" t="str">
        <f t="shared" ref="D258:D273" si="348">IF(ISBLANK($K258),CONCATENATE(LEFT($B257,8),IF($E258=1,1,IF($E258=2,1.3,IF($E258=3,1.5,IF($E258=4,2,IF($E258=5,2.3,IF($E258=6,2.5,IF($E258=7,3,IF($E258=8,3.3,IF($E258=9,3.5,IF($E258=10,4,IF($E258=11,4.3,IF($E258=12,4.5,""))))))))))))),CONCATENATE(RIGHT($K258,7),".1"))</f>
        <v>SOP.015.1.5</v>
      </c>
      <c r="E258" s="190">
        <f t="shared" si="266"/>
        <v>3</v>
      </c>
      <c r="F258" s="190" t="str">
        <f t="shared" si="345"/>
        <v>ALP.BSP.SOP.015.03</v>
      </c>
      <c r="G258" s="190" t="str">
        <f>IF(ISBLANK(N258),"",CONCATENATE(LEFT(F258,15),".",INDEX(Ref!A:A,MATCH(N258,Ref!$K$1:$K$333,0))))</f>
        <v>ALP.BSP.SOP.015.7</v>
      </c>
      <c r="H258" s="181"/>
      <c r="I258" s="183"/>
      <c r="J258" s="181"/>
      <c r="K258" s="181"/>
      <c r="L258" s="182"/>
      <c r="M258" s="182"/>
      <c r="N258" s="183" t="s">
        <v>88</v>
      </c>
      <c r="O258" s="182" t="s">
        <v>498</v>
      </c>
      <c r="P258" s="182" t="s">
        <v>499</v>
      </c>
      <c r="Q258" s="184" t="s">
        <v>92</v>
      </c>
      <c r="R258" s="184" t="s">
        <v>90</v>
      </c>
      <c r="S258" s="185" t="str">
        <f>IFERROR(CLEAN(INDEX('Risk Matrix'!$H$7:$L$11,MATCH($Q258,'Risk Matrix'!$F$7:$F$11,0),MATCH($R258,'Risk Matrix'!$H$6:$L$6,0))),"")</f>
        <v>Medium 2</v>
      </c>
      <c r="T258" s="85" t="str">
        <f>IF(LEFT($B258,7)=RIGHT('SOP template'!$B$1,7),_xlfn.NUMBERVALUE(RIGHT($S258,2)),"")</f>
        <v/>
      </c>
      <c r="U258" s="182" t="s">
        <v>495</v>
      </c>
      <c r="V258" s="182"/>
      <c r="W258" s="182"/>
      <c r="X258" s="182" t="s">
        <v>814</v>
      </c>
      <c r="Y258" s="182" t="s">
        <v>815</v>
      </c>
      <c r="Z258" s="182" t="s">
        <v>662</v>
      </c>
      <c r="AA258" s="186">
        <f>IFERROR(VLOOKUP(IFERROR(LEFT(S258,4),""),Ref!$AF$2:$AG$5,2,0),"")</f>
        <v>24</v>
      </c>
      <c r="AB258" s="186"/>
      <c r="AC258" s="218" t="s">
        <v>167</v>
      </c>
      <c r="AD258" s="187" t="str">
        <f>IFERROR(VLOOKUP(AC258,'Training Matrix'!B$4:C$24,2,0),"")</f>
        <v>Bioscience Manager</v>
      </c>
      <c r="AE258" s="221">
        <v>45792</v>
      </c>
      <c r="AF258" s="188">
        <f t="shared" si="274"/>
        <v>46522</v>
      </c>
      <c r="AG258" s="189" t="str">
        <f t="shared" ca="1" si="275"/>
        <v>Current</v>
      </c>
      <c r="AH258" s="50" t="str">
        <f t="shared" ref="AH258" si="349">IF(OR(AC258="",AE258=""),"",CONCATENATE(AC258,"_",K256,"_",L256))</f>
        <v>Person 3_ALP.BSP.SOP.015_General Operation and Cleaning</v>
      </c>
    </row>
    <row r="259" spans="1:34" ht="45" x14ac:dyDescent="0.25">
      <c r="A259" s="5" t="str">
        <f>IF(LEFT(F259,15)='SOP template'!$B$1,1,"")</f>
        <v/>
      </c>
      <c r="B259" s="190" t="str">
        <f t="shared" si="328"/>
        <v>SOP.015.4</v>
      </c>
      <c r="C259" s="190" t="str">
        <f t="shared" si="347"/>
        <v>SOP.015.2.4</v>
      </c>
      <c r="D259" s="190" t="str">
        <f t="shared" si="348"/>
        <v>SOP.015.2</v>
      </c>
      <c r="E259" s="190">
        <f t="shared" si="266"/>
        <v>4</v>
      </c>
      <c r="F259" s="190" t="str">
        <f t="shared" si="345"/>
        <v>ALP.BSP.SOP.015.04</v>
      </c>
      <c r="G259" s="190" t="str">
        <f>IF(ISBLANK(N259),"",CONCATENATE(LEFT(F259,15),".",INDEX(Ref!A:A,MATCH(N259,Ref!$K$1:$K$333,0))))</f>
        <v>ALP.BSP.SOP.015.12</v>
      </c>
      <c r="H259" s="181"/>
      <c r="I259" s="183"/>
      <c r="J259" s="181"/>
      <c r="K259" s="181"/>
      <c r="L259" s="182"/>
      <c r="M259" s="182"/>
      <c r="N259" s="183" t="s">
        <v>125</v>
      </c>
      <c r="O259" s="182" t="s">
        <v>548</v>
      </c>
      <c r="P259" s="182" t="s">
        <v>981</v>
      </c>
      <c r="Q259" s="184" t="s">
        <v>89</v>
      </c>
      <c r="R259" s="184" t="s">
        <v>91</v>
      </c>
      <c r="S259" s="185" t="str">
        <f>IFERROR(CLEAN(INDEX('Risk Matrix'!$H$7:$L$11,MATCH($Q259,'Risk Matrix'!$F$7:$F$11,0),MATCH($R259,'Risk Matrix'!$H$6:$L$6,0))),"")</f>
        <v>Low 1</v>
      </c>
      <c r="T259" s="85" t="str">
        <f>IF(LEFT($B259,7)=RIGHT('SOP template'!$B$1,7),_xlfn.NUMBERVALUE(RIGHT($S259,2)),"")</f>
        <v/>
      </c>
      <c r="U259" s="182" t="s">
        <v>494</v>
      </c>
      <c r="V259" s="182"/>
      <c r="W259" s="182"/>
      <c r="X259" s="182" t="s">
        <v>816</v>
      </c>
      <c r="Y259" s="182"/>
      <c r="Z259" s="182" t="s">
        <v>667</v>
      </c>
      <c r="AA259" s="186">
        <f>IFERROR(VLOOKUP(IFERROR(LEFT(S259,4),""),Ref!$AF$2:$AG$5,2,0),"")</f>
        <v>36</v>
      </c>
      <c r="AB259" s="186"/>
      <c r="AC259" s="218" t="s">
        <v>168</v>
      </c>
      <c r="AD259" s="187" t="str">
        <f>IFERROR(VLOOKUP(AC259,'Training Matrix'!B$4:C$24,2,0),"")</f>
        <v>Collection Manager</v>
      </c>
      <c r="AE259" s="221">
        <v>45792</v>
      </c>
      <c r="AF259" s="188">
        <f t="shared" si="274"/>
        <v>46522</v>
      </c>
      <c r="AG259" s="189" t="str">
        <f t="shared" ca="1" si="275"/>
        <v>Current</v>
      </c>
      <c r="AH259" s="50" t="str">
        <f t="shared" ref="AH259" si="350">IF(OR(AC259="",AE259=""),"",CONCATENATE(AC259,"_",K256,"_",L256))</f>
        <v>Person 4_ALP.BSP.SOP.015_General Operation and Cleaning</v>
      </c>
    </row>
    <row r="260" spans="1:34" ht="30" x14ac:dyDescent="0.25">
      <c r="A260" s="5" t="str">
        <f>IF(LEFT(F260,15)='SOP template'!$B$1,1,"")</f>
        <v/>
      </c>
      <c r="B260" s="190" t="str">
        <f t="shared" si="328"/>
        <v>SOP.015.5</v>
      </c>
      <c r="C260" s="190" t="str">
        <f t="shared" si="347"/>
        <v>SOP.015.3</v>
      </c>
      <c r="D260" s="190" t="str">
        <f t="shared" si="348"/>
        <v>SOP.015.2.3</v>
      </c>
      <c r="E260" s="190">
        <f t="shared" si="266"/>
        <v>5</v>
      </c>
      <c r="F260" s="190" t="str">
        <f t="shared" si="345"/>
        <v>ALP.BSP.SOP.015.05</v>
      </c>
      <c r="G260" s="190" t="str">
        <f>IF(ISBLANK(N260),"",CONCATENATE(LEFT(F260,15),".",INDEX(Ref!A:A,MATCH(N260,Ref!$K$1:$K$333,0))))</f>
        <v>ALP.BSP.SOP.015.20</v>
      </c>
      <c r="H260" s="181"/>
      <c r="I260" s="183"/>
      <c r="J260" s="181"/>
      <c r="K260" s="181"/>
      <c r="L260" s="238"/>
      <c r="M260" s="238"/>
      <c r="N260" s="183" t="s">
        <v>133</v>
      </c>
      <c r="O260" s="182" t="s">
        <v>413</v>
      </c>
      <c r="P260" s="182" t="s">
        <v>982</v>
      </c>
      <c r="Q260" s="184" t="s">
        <v>89</v>
      </c>
      <c r="R260" s="184" t="s">
        <v>91</v>
      </c>
      <c r="S260" s="185" t="str">
        <f>IFERROR(CLEAN(INDEX('Risk Matrix'!$H$7:$L$11,MATCH($Q260,'Risk Matrix'!$F$7:$F$11,0),MATCH($R260,'Risk Matrix'!$H$6:$L$6,0))),"")</f>
        <v>Low 1</v>
      </c>
      <c r="T260" s="85" t="str">
        <f>IF(LEFT($B260,7)=RIGHT('SOP template'!$B$1,7),_xlfn.NUMBERVALUE(RIGHT($S260,2)),"")</f>
        <v/>
      </c>
      <c r="U260" s="182" t="s">
        <v>817</v>
      </c>
      <c r="V260" s="182"/>
      <c r="W260" s="182"/>
      <c r="X260" s="182" t="s">
        <v>818</v>
      </c>
      <c r="Y260" s="182"/>
      <c r="Z260" s="182" t="s">
        <v>670</v>
      </c>
      <c r="AA260" s="186">
        <f>IFERROR(VLOOKUP(IFERROR(LEFT(S260,4),""),Ref!$AF$2:$AG$5,2,0),"")</f>
        <v>36</v>
      </c>
      <c r="AB260" s="186"/>
      <c r="AC260" s="218" t="s">
        <v>169</v>
      </c>
      <c r="AD260" s="187" t="str">
        <f>IFERROR(VLOOKUP(AC260,'Training Matrix'!B$4:C$24,2,0),"")</f>
        <v>Technician</v>
      </c>
      <c r="AE260" s="221">
        <v>45792</v>
      </c>
      <c r="AF260" s="188">
        <f t="shared" si="274"/>
        <v>46522</v>
      </c>
      <c r="AG260" s="189" t="str">
        <f t="shared" ca="1" si="275"/>
        <v>Current</v>
      </c>
      <c r="AH260" s="50" t="str">
        <f t="shared" ref="AH260" si="351">IF(OR(AC260="",AE260=""),"",CONCATENATE(AC260,"_",K256,"_",L256))</f>
        <v>Person 5_ALP.BSP.SOP.015_General Operation and Cleaning</v>
      </c>
    </row>
    <row r="261" spans="1:34" ht="60" x14ac:dyDescent="0.25">
      <c r="A261" s="5" t="str">
        <f>IF(LEFT(F261,15)='SOP template'!$B$1,1,"")</f>
        <v/>
      </c>
      <c r="B261" s="190" t="str">
        <f t="shared" si="328"/>
        <v>SOP.015.6</v>
      </c>
      <c r="C261" s="190" t="str">
        <f t="shared" si="347"/>
        <v>SOP.015.3.4</v>
      </c>
      <c r="D261" s="190" t="str">
        <f t="shared" si="348"/>
        <v>SOP.015.2.5</v>
      </c>
      <c r="E261" s="190">
        <f t="shared" ref="E261:E324" si="352">IF(ISBLANK($K261),$E260+1,1)</f>
        <v>6</v>
      </c>
      <c r="F261" s="190" t="str">
        <f t="shared" si="345"/>
        <v>ALP.BSP.SOP.015.06</v>
      </c>
      <c r="G261" s="190" t="str">
        <f>IF(ISBLANK(N261),"",CONCATENATE(LEFT(F261,15),".",INDEX(Ref!A:A,MATCH(N261,Ref!$K$1:$K$333,0))))</f>
        <v/>
      </c>
      <c r="H261" s="181"/>
      <c r="I261" s="183"/>
      <c r="J261" s="181"/>
      <c r="K261" s="181"/>
      <c r="L261" s="238"/>
      <c r="M261" s="238"/>
      <c r="N261" s="183"/>
      <c r="O261" s="182" t="s">
        <v>417</v>
      </c>
      <c r="P261" s="182" t="s">
        <v>983</v>
      </c>
      <c r="Q261" s="184" t="s">
        <v>89</v>
      </c>
      <c r="R261" s="184" t="s">
        <v>91</v>
      </c>
      <c r="S261" s="185" t="str">
        <f>IFERROR(CLEAN(INDEX('Risk Matrix'!$H$7:$L$11,MATCH($Q261,'Risk Matrix'!$F$7:$F$11,0),MATCH($R261,'Risk Matrix'!$H$6:$L$6,0))),"")</f>
        <v>Low 1</v>
      </c>
      <c r="T261" s="85" t="str">
        <f>IF(LEFT($B261,7)=RIGHT('SOP template'!$B$1,7),_xlfn.NUMBERVALUE(RIGHT($S261,2)),"")</f>
        <v/>
      </c>
      <c r="U261" s="182" t="s">
        <v>819</v>
      </c>
      <c r="V261" s="182"/>
      <c r="W261" s="182"/>
      <c r="X261" s="182"/>
      <c r="Y261" s="182"/>
      <c r="Z261" s="182"/>
      <c r="AA261" s="186">
        <f>IFERROR(VLOOKUP(IFERROR(LEFT(S261,4),""),Ref!$AF$2:$AG$5,2,0),"")</f>
        <v>36</v>
      </c>
      <c r="AB261" s="186"/>
      <c r="AC261" s="218" t="s">
        <v>170</v>
      </c>
      <c r="AD261" s="187" t="str">
        <f>IFERROR(VLOOKUP(AC261,'Training Matrix'!B$4:C$24,2,0),"")</f>
        <v>Scientist</v>
      </c>
      <c r="AE261" s="221">
        <v>45792</v>
      </c>
      <c r="AF261" s="188">
        <f t="shared" si="274"/>
        <v>46522</v>
      </c>
      <c r="AG261" s="189" t="str">
        <f t="shared" ca="1" si="275"/>
        <v>Current</v>
      </c>
      <c r="AH261" s="50" t="str">
        <f t="shared" ref="AH261" si="353">IF(OR(AC261="",AE261=""),"",CONCATENATE(AC261,"_",K256,"_",L256))</f>
        <v>Person 6_ALP.BSP.SOP.015_General Operation and Cleaning</v>
      </c>
    </row>
    <row r="262" spans="1:34" x14ac:dyDescent="0.25">
      <c r="A262" s="5" t="str">
        <f>IF(LEFT(F262,15)='SOP template'!$B$1,1,"")</f>
        <v/>
      </c>
      <c r="B262" s="190" t="str">
        <f t="shared" si="328"/>
        <v>SOP.015.7</v>
      </c>
      <c r="C262" s="190" t="str">
        <f t="shared" si="347"/>
        <v>SOP.015.4</v>
      </c>
      <c r="D262" s="190" t="str">
        <f t="shared" si="348"/>
        <v>SOP.015.3</v>
      </c>
      <c r="E262" s="190">
        <f t="shared" si="352"/>
        <v>7</v>
      </c>
      <c r="F262" s="190" t="str">
        <f t="shared" si="345"/>
        <v>ALP.BSP.SOP.015.07</v>
      </c>
      <c r="G262" s="190" t="str">
        <f>IF(ISBLANK(N262),"",CONCATENATE(LEFT(F262,15),".",INDEX(Ref!A:A,MATCH(N262,Ref!$K$1:$K$333,0))))</f>
        <v/>
      </c>
      <c r="H262" s="181"/>
      <c r="I262" s="183"/>
      <c r="J262" s="181"/>
      <c r="K262" s="181"/>
      <c r="L262" s="238"/>
      <c r="M262" s="238"/>
      <c r="N262" s="183"/>
      <c r="O262" s="182"/>
      <c r="P262" s="182"/>
      <c r="Q262" s="184"/>
      <c r="R262" s="184"/>
      <c r="S262" s="185" t="str">
        <f>IFERROR(CLEAN(INDEX('Risk Matrix'!$H$7:$L$11,MATCH($Q262,'Risk Matrix'!$F$7:$F$11,0),MATCH($R262,'Risk Matrix'!$H$6:$L$6,0))),"")</f>
        <v/>
      </c>
      <c r="T262" s="85" t="str">
        <f>IF(LEFT($B262,7)=RIGHT('SOP template'!$B$1,7),_xlfn.NUMBERVALUE(RIGHT($S262,2)),"")</f>
        <v/>
      </c>
      <c r="U262" s="182"/>
      <c r="V262" s="182"/>
      <c r="W262" s="182"/>
      <c r="X262" s="182"/>
      <c r="Y262" s="182"/>
      <c r="Z262" s="182"/>
      <c r="AA262" s="186" t="str">
        <f>IFERROR(VLOOKUP(IFERROR(LEFT(S262,4),""),Ref!$AF$2:$AG$5,2,0),"")</f>
        <v/>
      </c>
      <c r="AB262" s="186"/>
      <c r="AC262" s="218"/>
      <c r="AD262" s="187" t="str">
        <f>IFERROR(VLOOKUP(AC262,'Training Matrix'!B$4:C$24,2,0),"")</f>
        <v/>
      </c>
      <c r="AE262" s="221"/>
      <c r="AF262" s="188" t="str">
        <f t="shared" si="274"/>
        <v/>
      </c>
      <c r="AG262" s="189" t="str">
        <f t="shared" ca="1" si="275"/>
        <v/>
      </c>
      <c r="AH262" s="50" t="str">
        <f t="shared" ref="AH262" si="354">IF(OR(AC262="",AE262=""),"",CONCATENATE(AC262,"_",K256,"_",L256))</f>
        <v/>
      </c>
    </row>
    <row r="263" spans="1:34" x14ac:dyDescent="0.25">
      <c r="A263" s="5" t="str">
        <f>IF(LEFT(F263,15)='SOP template'!$B$1,1,"")</f>
        <v/>
      </c>
      <c r="B263" s="190" t="str">
        <f t="shared" si="328"/>
        <v>SOP.015.8</v>
      </c>
      <c r="C263" s="190" t="str">
        <f t="shared" si="347"/>
        <v>SOP.015.4.4</v>
      </c>
      <c r="D263" s="190" t="str">
        <f t="shared" si="348"/>
        <v>SOP.015.3.3</v>
      </c>
      <c r="E263" s="190">
        <f t="shared" si="352"/>
        <v>8</v>
      </c>
      <c r="F263" s="190" t="str">
        <f t="shared" si="345"/>
        <v>ALP.BSP.SOP.015.08</v>
      </c>
      <c r="G263" s="190" t="str">
        <f>IF(ISBLANK(N263),"",CONCATENATE(LEFT(F263,15),".",INDEX(Ref!A:A,MATCH(N263,Ref!$K$1:$K$333,0))))</f>
        <v/>
      </c>
      <c r="H263" s="181"/>
      <c r="I263" s="183"/>
      <c r="J263" s="181"/>
      <c r="K263" s="181"/>
      <c r="L263" s="182"/>
      <c r="M263" s="182"/>
      <c r="N263" s="183"/>
      <c r="O263" s="182"/>
      <c r="P263" s="182"/>
      <c r="Q263" s="184"/>
      <c r="R263" s="184"/>
      <c r="S263" s="185" t="str">
        <f>IFERROR(CLEAN(INDEX('Risk Matrix'!$H$7:$L$11,MATCH($Q263,'Risk Matrix'!$F$7:$F$11,0),MATCH($R263,'Risk Matrix'!$H$6:$L$6,0))),"")</f>
        <v/>
      </c>
      <c r="T263" s="85" t="str">
        <f>IF(LEFT($B263,7)=RIGHT('SOP template'!$B$1,7),_xlfn.NUMBERVALUE(RIGHT($S263,2)),"")</f>
        <v/>
      </c>
      <c r="U263" s="182"/>
      <c r="V263" s="182"/>
      <c r="W263" s="182"/>
      <c r="X263" s="182"/>
      <c r="Y263" s="182"/>
      <c r="Z263" s="183"/>
      <c r="AA263" s="186" t="str">
        <f>IFERROR(VLOOKUP(IFERROR(LEFT(S263,4),""),Ref!$AF$2:$AG$5,2,0),"")</f>
        <v/>
      </c>
      <c r="AB263" s="186"/>
      <c r="AC263" s="218"/>
      <c r="AD263" s="187" t="str">
        <f>IFERROR(VLOOKUP(AC263,'Training Matrix'!B$4:C$24,2,0),"")</f>
        <v/>
      </c>
      <c r="AE263" s="221"/>
      <c r="AF263" s="188" t="str">
        <f t="shared" si="274"/>
        <v/>
      </c>
      <c r="AG263" s="189" t="str">
        <f t="shared" ca="1" si="275"/>
        <v/>
      </c>
      <c r="AH263" s="50" t="str">
        <f t="shared" ref="AH263" si="355">IF(OR(AC263="",AE263=""),"",CONCATENATE(AC263,"_",K256,"_",L256))</f>
        <v/>
      </c>
    </row>
    <row r="264" spans="1:34" x14ac:dyDescent="0.25">
      <c r="A264" s="5" t="str">
        <f>IF(LEFT(F264,15)='SOP template'!$B$1,1,"")</f>
        <v/>
      </c>
      <c r="B264" s="190" t="str">
        <f t="shared" si="328"/>
        <v>SOP.015.9</v>
      </c>
      <c r="C264" s="190" t="str">
        <f t="shared" si="347"/>
        <v>SOP.015.5</v>
      </c>
      <c r="D264" s="190" t="str">
        <f t="shared" si="348"/>
        <v>SOP.015.3.5</v>
      </c>
      <c r="E264" s="190">
        <f t="shared" si="352"/>
        <v>9</v>
      </c>
      <c r="F264" s="190" t="str">
        <f t="shared" si="345"/>
        <v>ALP.BSP.SOP.015.09</v>
      </c>
      <c r="G264" s="190" t="str">
        <f>IF(ISBLANK(N264),"",CONCATENATE(LEFT(F264,15),".",INDEX(Ref!A:A,MATCH(N264,Ref!$K$1:$K$333,0))))</f>
        <v/>
      </c>
      <c r="H264" s="181"/>
      <c r="I264" s="183"/>
      <c r="J264" s="181"/>
      <c r="K264" s="181"/>
      <c r="L264" s="182"/>
      <c r="M264" s="182"/>
      <c r="N264" s="183"/>
      <c r="O264" s="182"/>
      <c r="P264" s="182"/>
      <c r="Q264" s="184"/>
      <c r="R264" s="184"/>
      <c r="S264" s="185" t="str">
        <f>IFERROR(CLEAN(INDEX('Risk Matrix'!$H$7:$L$11,MATCH($Q264,'Risk Matrix'!$F$7:$F$11,0),MATCH($R264,'Risk Matrix'!$H$6:$L$6,0))),"")</f>
        <v/>
      </c>
      <c r="T264" s="85" t="str">
        <f>IF(LEFT($B264,7)=RIGHT('SOP template'!$B$1,7),_xlfn.NUMBERVALUE(RIGHT($S264,2)),"")</f>
        <v/>
      </c>
      <c r="U264" s="182"/>
      <c r="V264" s="182"/>
      <c r="W264" s="182"/>
      <c r="X264" s="182"/>
      <c r="Y264" s="182"/>
      <c r="Z264" s="183"/>
      <c r="AA264" s="186" t="str">
        <f>IFERROR(VLOOKUP(IFERROR(LEFT(S264,4),""),Ref!$AF$2:$AG$5,2,0),"")</f>
        <v/>
      </c>
      <c r="AB264" s="186"/>
      <c r="AC264" s="218"/>
      <c r="AD264" s="187" t="str">
        <f>IFERROR(VLOOKUP(AC264,'Training Matrix'!B$4:C$24,2,0),"")</f>
        <v/>
      </c>
      <c r="AE264" s="221"/>
      <c r="AF264" s="188" t="str">
        <f t="shared" si="274"/>
        <v/>
      </c>
      <c r="AG264" s="189" t="str">
        <f t="shared" ca="1" si="275"/>
        <v/>
      </c>
      <c r="AH264" s="50" t="str">
        <f t="shared" ref="AH264" si="356">IF(OR(AC264="",AE264=""),"",CONCATENATE(AC264,"_",K256,"_",L256))</f>
        <v/>
      </c>
    </row>
    <row r="265" spans="1:34" x14ac:dyDescent="0.25">
      <c r="A265" s="5" t="str">
        <f>IF(LEFT(F265,15)='SOP template'!$B$1,1,"")</f>
        <v/>
      </c>
      <c r="B265" s="190" t="str">
        <f t="shared" si="328"/>
        <v>SOP.015.10</v>
      </c>
      <c r="C265" s="190" t="str">
        <f t="shared" si="347"/>
        <v>SOP.015.5.4</v>
      </c>
      <c r="D265" s="190" t="str">
        <f t="shared" si="348"/>
        <v>SOP.015.4</v>
      </c>
      <c r="E265" s="190">
        <f t="shared" si="352"/>
        <v>10</v>
      </c>
      <c r="F265" s="190" t="str">
        <f t="shared" si="345"/>
        <v>ALP.BSP.SOP.015.10</v>
      </c>
      <c r="G265" s="190" t="str">
        <f>IF(ISBLANK(N265),"",CONCATENATE(LEFT(F265,15),".",INDEX(Ref!A:A,MATCH(N265,Ref!$K$1:$K$333,0))))</f>
        <v/>
      </c>
      <c r="H265" s="181"/>
      <c r="I265" s="183"/>
      <c r="J265" s="181"/>
      <c r="K265" s="181"/>
      <c r="L265" s="182"/>
      <c r="M265" s="182"/>
      <c r="N265" s="183"/>
      <c r="O265" s="182"/>
      <c r="P265" s="182"/>
      <c r="Q265" s="184"/>
      <c r="R265" s="184"/>
      <c r="S265" s="185" t="str">
        <f>IFERROR(CLEAN(INDEX('Risk Matrix'!$H$7:$L$11,MATCH($Q265,'Risk Matrix'!$F$7:$F$11,0),MATCH($R265,'Risk Matrix'!$H$6:$L$6,0))),"")</f>
        <v/>
      </c>
      <c r="T265" s="85" t="str">
        <f>IF(LEFT($B265,7)=RIGHT('SOP template'!$B$1,7),_xlfn.NUMBERVALUE(RIGHT($S265,2)),"")</f>
        <v/>
      </c>
      <c r="U265" s="182"/>
      <c r="V265" s="182"/>
      <c r="W265" s="182"/>
      <c r="X265" s="182"/>
      <c r="Y265" s="182"/>
      <c r="Z265" s="183"/>
      <c r="AA265" s="186" t="str">
        <f>IFERROR(VLOOKUP(IFERROR(LEFT(S265,4),""),Ref!$AF$2:$AG$5,2,0),"")</f>
        <v/>
      </c>
      <c r="AB265" s="186"/>
      <c r="AC265" s="218"/>
      <c r="AD265" s="187" t="str">
        <f>IFERROR(VLOOKUP(AC265,'Training Matrix'!B$4:C$24,2,0),"")</f>
        <v/>
      </c>
      <c r="AE265" s="221"/>
      <c r="AF265" s="188" t="str">
        <f t="shared" si="274"/>
        <v/>
      </c>
      <c r="AG265" s="189" t="str">
        <f t="shared" ca="1" si="275"/>
        <v/>
      </c>
      <c r="AH265" s="50" t="str">
        <f t="shared" ref="AH265" si="357">IF(OR(AC265="",AE265=""),"",CONCATENATE(AC265,"_",K256,"_",L256))</f>
        <v/>
      </c>
    </row>
    <row r="266" spans="1:34" x14ac:dyDescent="0.25">
      <c r="A266" s="5" t="str">
        <f>IF(LEFT(F266,15)='SOP template'!$B$1,1,"")</f>
        <v/>
      </c>
      <c r="B266" s="190" t="str">
        <f t="shared" ref="B266:B273" si="358">CONCATENATE(LEFT(B265,8),E266)</f>
        <v>SOP.015.11</v>
      </c>
      <c r="C266" s="190" t="str">
        <f t="shared" si="347"/>
        <v>SOP.015.6</v>
      </c>
      <c r="D266" s="190" t="str">
        <f t="shared" si="348"/>
        <v>SOP.015.4.3</v>
      </c>
      <c r="E266" s="190">
        <f t="shared" si="352"/>
        <v>11</v>
      </c>
      <c r="F266" s="190" t="str">
        <f t="shared" ref="F266:F273" si="359">IF(K266=0,LEFT(F265,16)&amp;TEXT(E266,"00"),K266&amp;"."&amp;TEXT(E266,"00"))</f>
        <v>ALP.BSP.SOP.015.11</v>
      </c>
      <c r="G266" s="190" t="str">
        <f>IF(ISBLANK(N266),"",CONCATENATE(LEFT(F266,15),".",INDEX(Ref!A:A,MATCH(N266,Ref!$K$1:$K$333,0))))</f>
        <v/>
      </c>
      <c r="H266" s="181"/>
      <c r="I266" s="183"/>
      <c r="J266" s="181"/>
      <c r="K266" s="181"/>
      <c r="L266" s="182"/>
      <c r="M266" s="182"/>
      <c r="N266" s="183"/>
      <c r="O266" s="182"/>
      <c r="P266" s="182"/>
      <c r="Q266" s="184"/>
      <c r="R266" s="184"/>
      <c r="S266" s="185" t="str">
        <f>IFERROR(CLEAN(INDEX('Risk Matrix'!$H$7:$L$11,MATCH($Q266,'Risk Matrix'!$F$7:$F$11,0),MATCH($R266,'Risk Matrix'!$H$6:$L$6,0))),"")</f>
        <v/>
      </c>
      <c r="T266" s="85" t="str">
        <f>IF(LEFT($B266,7)=RIGHT('SOP template'!$B$1,7),_xlfn.NUMBERVALUE(RIGHT($S266,2)),"")</f>
        <v/>
      </c>
      <c r="U266" s="182"/>
      <c r="V266" s="182"/>
      <c r="W266" s="182"/>
      <c r="X266" s="182"/>
      <c r="Y266" s="182"/>
      <c r="Z266" s="183"/>
      <c r="AA266" s="186" t="str">
        <f>IFERROR(VLOOKUP(IFERROR(LEFT(S266,4),""),Ref!$AF$2:$AG$5,2,0),"")</f>
        <v/>
      </c>
      <c r="AB266" s="186"/>
      <c r="AC266" s="218"/>
      <c r="AD266" s="187" t="str">
        <f>IFERROR(VLOOKUP(AC266,'Training Matrix'!B$4:C$24,2,0),"")</f>
        <v/>
      </c>
      <c r="AE266" s="218"/>
      <c r="AF266" s="188" t="str">
        <f t="shared" ref="AF266:AF329" si="360">IF(AE266="","",EDATE(AE266,AB$4))</f>
        <v/>
      </c>
      <c r="AG266" s="189" t="str">
        <f t="shared" ref="AG266:AG329" ca="1" si="361">IF(AE266="","",IF(TODAY()&gt;AF266,"Overdue","Current"))</f>
        <v/>
      </c>
      <c r="AH266" s="50" t="str">
        <f t="shared" ref="AH266" si="362">IF(OR(AC266="",AE266=""),"",CONCATENATE(AC266,"_",K256,"_",L256))</f>
        <v/>
      </c>
    </row>
    <row r="267" spans="1:34" x14ac:dyDescent="0.25">
      <c r="A267" s="5" t="str">
        <f>IF(LEFT(F267,15)='SOP template'!$B$1,1,"")</f>
        <v/>
      </c>
      <c r="B267" s="190" t="str">
        <f t="shared" si="358"/>
        <v>SOP.015.12</v>
      </c>
      <c r="C267" s="190" t="str">
        <f t="shared" si="347"/>
        <v>SOP.015.6.4</v>
      </c>
      <c r="D267" s="190" t="str">
        <f t="shared" si="348"/>
        <v>SOP.015.4.5</v>
      </c>
      <c r="E267" s="190">
        <f t="shared" si="352"/>
        <v>12</v>
      </c>
      <c r="F267" s="190" t="str">
        <f t="shared" si="359"/>
        <v>ALP.BSP.SOP.015.12</v>
      </c>
      <c r="G267" s="190" t="str">
        <f>IF(ISBLANK(N267),"",CONCATENATE(LEFT(F267,15),".",INDEX(Ref!A:A,MATCH(N267,Ref!$K$1:$K$333,0))))</f>
        <v/>
      </c>
      <c r="H267" s="181"/>
      <c r="I267" s="183"/>
      <c r="J267" s="181"/>
      <c r="K267" s="181"/>
      <c r="L267" s="182"/>
      <c r="M267" s="182"/>
      <c r="N267" s="183"/>
      <c r="O267" s="182"/>
      <c r="P267" s="182"/>
      <c r="Q267" s="184"/>
      <c r="R267" s="184"/>
      <c r="S267" s="185" t="str">
        <f>IFERROR(CLEAN(INDEX('Risk Matrix'!$H$7:$L$11,MATCH($Q267,'Risk Matrix'!$F$7:$F$11,0),MATCH($R267,'Risk Matrix'!$H$6:$L$6,0))),"")</f>
        <v/>
      </c>
      <c r="T267" s="85" t="str">
        <f>IF(LEFT($B267,7)=RIGHT('SOP template'!$B$1,7),_xlfn.NUMBERVALUE(RIGHT($S267,2)),"")</f>
        <v/>
      </c>
      <c r="U267" s="182"/>
      <c r="V267" s="182"/>
      <c r="W267" s="182"/>
      <c r="X267" s="182"/>
      <c r="Y267" s="182"/>
      <c r="Z267" s="183"/>
      <c r="AA267" s="186" t="str">
        <f>IFERROR(VLOOKUP(IFERROR(LEFT(S267,4),""),Ref!$AF$2:$AG$5,2,0),"")</f>
        <v/>
      </c>
      <c r="AB267" s="186"/>
      <c r="AC267" s="218"/>
      <c r="AD267" s="187" t="str">
        <f>IFERROR(VLOOKUP(AC267,'Training Matrix'!B$4:C$24,2,0),"")</f>
        <v/>
      </c>
      <c r="AE267" s="218"/>
      <c r="AF267" s="188" t="str">
        <f t="shared" si="360"/>
        <v/>
      </c>
      <c r="AG267" s="189" t="str">
        <f t="shared" ca="1" si="361"/>
        <v/>
      </c>
      <c r="AH267" s="50" t="str">
        <f t="shared" ref="AH267" si="363">IF(OR(AC267="",AE267=""),"",CONCATENATE(AC267,"_",K256,"_",L256))</f>
        <v/>
      </c>
    </row>
    <row r="268" spans="1:34" x14ac:dyDescent="0.25">
      <c r="A268" s="5" t="str">
        <f>IF(LEFT(F268,15)='SOP template'!$B$1,1,"")</f>
        <v/>
      </c>
      <c r="B268" s="190" t="str">
        <f t="shared" si="358"/>
        <v>SOP.015.13</v>
      </c>
      <c r="C268" s="190" t="str">
        <f t="shared" si="347"/>
        <v>SOP.015.</v>
      </c>
      <c r="D268" s="190" t="str">
        <f t="shared" si="348"/>
        <v>SOP.015.</v>
      </c>
      <c r="E268" s="190">
        <f t="shared" si="352"/>
        <v>13</v>
      </c>
      <c r="F268" s="190" t="str">
        <f t="shared" si="359"/>
        <v>ALP.BSP.SOP.015.13</v>
      </c>
      <c r="G268" s="190" t="str">
        <f>IF(ISBLANK(N268),"",CONCATENATE(LEFT(F268,15),".",INDEX(Ref!A:A,MATCH(N268,Ref!$K$1:$K$333,0))))</f>
        <v/>
      </c>
      <c r="H268" s="181"/>
      <c r="I268" s="183"/>
      <c r="J268" s="181"/>
      <c r="K268" s="181"/>
      <c r="L268" s="182"/>
      <c r="M268" s="182"/>
      <c r="N268" s="183"/>
      <c r="O268" s="182"/>
      <c r="P268" s="182"/>
      <c r="Q268" s="184"/>
      <c r="R268" s="184"/>
      <c r="S268" s="185" t="str">
        <f>IFERROR(CLEAN(INDEX('Risk Matrix'!$H$7:$L$11,MATCH($Q268,'Risk Matrix'!$F$7:$F$11,0),MATCH($R268,'Risk Matrix'!$H$6:$L$6,0))),"")</f>
        <v/>
      </c>
      <c r="T268" s="85" t="str">
        <f>IF(LEFT($B268,7)=RIGHT('SOP template'!$B$1,7),_xlfn.NUMBERVALUE(RIGHT($S268,2)),"")</f>
        <v/>
      </c>
      <c r="U268" s="182"/>
      <c r="V268" s="182"/>
      <c r="W268" s="182"/>
      <c r="X268" s="182"/>
      <c r="Y268" s="182"/>
      <c r="Z268" s="183"/>
      <c r="AA268" s="186" t="str">
        <f>IFERROR(VLOOKUP(IFERROR(LEFT(S268,4),""),Ref!$AF$2:$AG$5,2,0),"")</f>
        <v/>
      </c>
      <c r="AB268" s="186"/>
      <c r="AC268" s="218"/>
      <c r="AD268" s="187" t="str">
        <f>IFERROR(VLOOKUP(AC268,'Training Matrix'!B$4:C$24,2,0),"")</f>
        <v/>
      </c>
      <c r="AE268" s="218"/>
      <c r="AF268" s="188" t="str">
        <f t="shared" si="360"/>
        <v/>
      </c>
      <c r="AG268" s="189" t="str">
        <f t="shared" ca="1" si="361"/>
        <v/>
      </c>
      <c r="AH268" s="50" t="str">
        <f t="shared" ref="AH268" si="364">IF(OR(AC268="",AE268=""),"",CONCATENATE(AC268,"_",K256,"_",L256))</f>
        <v/>
      </c>
    </row>
    <row r="269" spans="1:34" x14ac:dyDescent="0.25">
      <c r="A269" s="5" t="str">
        <f>IF(LEFT(F269,15)='SOP template'!$B$1,1,"")</f>
        <v/>
      </c>
      <c r="B269" s="190" t="str">
        <f t="shared" si="358"/>
        <v>SOP.015.14</v>
      </c>
      <c r="C269" s="190" t="str">
        <f t="shared" si="347"/>
        <v>SOP.015.</v>
      </c>
      <c r="D269" s="190" t="str">
        <f t="shared" si="348"/>
        <v>SOP.015.</v>
      </c>
      <c r="E269" s="190">
        <f t="shared" si="352"/>
        <v>14</v>
      </c>
      <c r="F269" s="190" t="str">
        <f t="shared" si="359"/>
        <v>ALP.BSP.SOP.015.14</v>
      </c>
      <c r="G269" s="190" t="str">
        <f>IF(ISBLANK(N269),"",CONCATENATE(LEFT(F269,15),".",INDEX(Ref!A:A,MATCH(N269,Ref!$K$1:$K$333,0))))</f>
        <v/>
      </c>
      <c r="H269" s="181"/>
      <c r="I269" s="183"/>
      <c r="J269" s="181"/>
      <c r="K269" s="181"/>
      <c r="L269" s="182"/>
      <c r="M269" s="182"/>
      <c r="N269" s="183"/>
      <c r="O269" s="182"/>
      <c r="P269" s="182"/>
      <c r="Q269" s="184"/>
      <c r="R269" s="184"/>
      <c r="S269" s="185" t="str">
        <f>IFERROR(CLEAN(INDEX('Risk Matrix'!$H$7:$L$11,MATCH($Q269,'Risk Matrix'!$F$7:$F$11,0),MATCH($R269,'Risk Matrix'!$H$6:$L$6,0))),"")</f>
        <v/>
      </c>
      <c r="T269" s="85" t="str">
        <f>IF(LEFT($B269,7)=RIGHT('SOP template'!$B$1,7),_xlfn.NUMBERVALUE(RIGHT($S269,2)),"")</f>
        <v/>
      </c>
      <c r="U269" s="182"/>
      <c r="V269" s="182"/>
      <c r="W269" s="182"/>
      <c r="X269" s="182"/>
      <c r="Y269" s="182"/>
      <c r="Z269" s="183"/>
      <c r="AA269" s="186" t="str">
        <f>IFERROR(VLOOKUP(IFERROR(LEFT(S269,4),""),Ref!$AF$2:$AG$5,2,0),"")</f>
        <v/>
      </c>
      <c r="AB269" s="186"/>
      <c r="AC269" s="218"/>
      <c r="AD269" s="187" t="str">
        <f>IFERROR(VLOOKUP(AC269,'Training Matrix'!B$4:C$24,2,0),"")</f>
        <v/>
      </c>
      <c r="AE269" s="218"/>
      <c r="AF269" s="188" t="str">
        <f t="shared" si="360"/>
        <v/>
      </c>
      <c r="AG269" s="189" t="str">
        <f t="shared" ca="1" si="361"/>
        <v/>
      </c>
      <c r="AH269" s="50" t="str">
        <f t="shared" ref="AH269" si="365">IF(OR(AC269="",AE269=""),"",CONCATENATE(AC269,"_",K256,"_",L256))</f>
        <v/>
      </c>
    </row>
    <row r="270" spans="1:34" x14ac:dyDescent="0.25">
      <c r="A270" s="5" t="str">
        <f>IF(LEFT(F270,15)='SOP template'!$B$1,1,"")</f>
        <v/>
      </c>
      <c r="B270" s="190" t="str">
        <f t="shared" si="358"/>
        <v>SOP.015.15</v>
      </c>
      <c r="C270" s="190" t="str">
        <f t="shared" si="347"/>
        <v>SOP.015.</v>
      </c>
      <c r="D270" s="190" t="str">
        <f t="shared" si="348"/>
        <v>SOP.015.</v>
      </c>
      <c r="E270" s="190">
        <f t="shared" si="352"/>
        <v>15</v>
      </c>
      <c r="F270" s="190" t="str">
        <f t="shared" si="359"/>
        <v>ALP.BSP.SOP.015.15</v>
      </c>
      <c r="G270" s="190" t="str">
        <f>IF(ISBLANK(N270),"",CONCATENATE(LEFT(F270,15),".",INDEX(Ref!A:A,MATCH(N270,Ref!$K$1:$K$333,0))))</f>
        <v/>
      </c>
      <c r="H270" s="181"/>
      <c r="I270" s="183"/>
      <c r="J270" s="181"/>
      <c r="K270" s="181"/>
      <c r="L270" s="182"/>
      <c r="M270" s="182"/>
      <c r="N270" s="183"/>
      <c r="O270" s="182"/>
      <c r="P270" s="182"/>
      <c r="Q270" s="184"/>
      <c r="R270" s="184"/>
      <c r="S270" s="185" t="str">
        <f>IFERROR(CLEAN(INDEX('Risk Matrix'!$H$7:$L$11,MATCH($Q270,'Risk Matrix'!$F$7:$F$11,0),MATCH($R270,'Risk Matrix'!$H$6:$L$6,0))),"")</f>
        <v/>
      </c>
      <c r="T270" s="85" t="str">
        <f>IF(LEFT($B270,7)=RIGHT('SOP template'!$B$1,7),_xlfn.NUMBERVALUE(RIGHT($S270,2)),"")</f>
        <v/>
      </c>
      <c r="U270" s="182"/>
      <c r="V270" s="182"/>
      <c r="W270" s="182"/>
      <c r="X270" s="182"/>
      <c r="Y270" s="182"/>
      <c r="Z270" s="183"/>
      <c r="AA270" s="186" t="str">
        <f>IFERROR(VLOOKUP(IFERROR(LEFT(S270,4),""),Ref!$AF$2:$AG$5,2,0),"")</f>
        <v/>
      </c>
      <c r="AB270" s="186"/>
      <c r="AC270" s="218"/>
      <c r="AD270" s="187" t="str">
        <f>IFERROR(VLOOKUP(AC270,'Training Matrix'!B$4:C$24,2,0),"")</f>
        <v/>
      </c>
      <c r="AE270" s="218"/>
      <c r="AF270" s="188" t="str">
        <f t="shared" si="360"/>
        <v/>
      </c>
      <c r="AG270" s="189" t="str">
        <f t="shared" ca="1" si="361"/>
        <v/>
      </c>
      <c r="AH270" s="50" t="str">
        <f t="shared" ref="AH270" si="366">IF(OR(AC270="",AE270=""),"",CONCATENATE(AC270,"_",K256,"_",L256))</f>
        <v/>
      </c>
    </row>
    <row r="271" spans="1:34" x14ac:dyDescent="0.25">
      <c r="A271" s="5" t="str">
        <f>IF(LEFT(F271,15)='SOP template'!$B$1,1,"")</f>
        <v/>
      </c>
      <c r="B271" s="190" t="str">
        <f t="shared" si="358"/>
        <v>SOP.015.16</v>
      </c>
      <c r="C271" s="190" t="str">
        <f t="shared" si="347"/>
        <v>SOP.015.</v>
      </c>
      <c r="D271" s="190" t="str">
        <f t="shared" si="348"/>
        <v>SOP.015.</v>
      </c>
      <c r="E271" s="190">
        <f t="shared" si="352"/>
        <v>16</v>
      </c>
      <c r="F271" s="190" t="str">
        <f t="shared" si="359"/>
        <v>ALP.BSP.SOP.015.16</v>
      </c>
      <c r="G271" s="190" t="str">
        <f>IF(ISBLANK(N271),"",CONCATENATE(LEFT(F271,15),".",INDEX(Ref!A:A,MATCH(N271,Ref!$K$1:$K$333,0))))</f>
        <v/>
      </c>
      <c r="H271" s="181"/>
      <c r="I271" s="183"/>
      <c r="J271" s="181"/>
      <c r="K271" s="181"/>
      <c r="L271" s="182"/>
      <c r="M271" s="182"/>
      <c r="N271" s="183"/>
      <c r="O271" s="182"/>
      <c r="P271" s="182"/>
      <c r="Q271" s="184"/>
      <c r="R271" s="184"/>
      <c r="S271" s="185" t="str">
        <f>IFERROR(CLEAN(INDEX('Risk Matrix'!$H$7:$L$11,MATCH($Q271,'Risk Matrix'!$F$7:$F$11,0),MATCH($R271,'Risk Matrix'!$H$6:$L$6,0))),"")</f>
        <v/>
      </c>
      <c r="T271" s="85" t="str">
        <f>IF(LEFT($B271,7)=RIGHT('SOP template'!$B$1,7),_xlfn.NUMBERVALUE(RIGHT($S271,2)),"")</f>
        <v/>
      </c>
      <c r="U271" s="182"/>
      <c r="V271" s="182"/>
      <c r="W271" s="182"/>
      <c r="X271" s="182"/>
      <c r="Y271" s="182"/>
      <c r="Z271" s="183"/>
      <c r="AA271" s="186" t="str">
        <f>IFERROR(VLOOKUP(IFERROR(LEFT(S271,4),""),Ref!$AF$2:$AG$5,2,0),"")</f>
        <v/>
      </c>
      <c r="AB271" s="186"/>
      <c r="AC271" s="218"/>
      <c r="AD271" s="187" t="str">
        <f>IFERROR(VLOOKUP(AC271,'Training Matrix'!B$4:C$24,2,0),"")</f>
        <v/>
      </c>
      <c r="AE271" s="218"/>
      <c r="AF271" s="188" t="str">
        <f t="shared" si="360"/>
        <v/>
      </c>
      <c r="AG271" s="189" t="str">
        <f t="shared" ca="1" si="361"/>
        <v/>
      </c>
      <c r="AH271" s="50" t="str">
        <f t="shared" ref="AH271" si="367">IF(OR(AC271="",AE271=""),"",CONCATENATE(AC271,"_",K256,"_",L256))</f>
        <v/>
      </c>
    </row>
    <row r="272" spans="1:34" x14ac:dyDescent="0.25">
      <c r="A272" s="5" t="str">
        <f>IF(LEFT(F272,15)='SOP template'!$B$1,1,"")</f>
        <v/>
      </c>
      <c r="B272" s="190" t="str">
        <f t="shared" si="358"/>
        <v>SOP.015.17</v>
      </c>
      <c r="C272" s="190" t="str">
        <f t="shared" si="347"/>
        <v>SOP.015.</v>
      </c>
      <c r="D272" s="190" t="str">
        <f t="shared" si="348"/>
        <v>SOP.015.</v>
      </c>
      <c r="E272" s="190">
        <f t="shared" si="352"/>
        <v>17</v>
      </c>
      <c r="F272" s="190" t="str">
        <f t="shared" si="359"/>
        <v>ALP.BSP.SOP.015.17</v>
      </c>
      <c r="G272" s="190" t="str">
        <f>IF(ISBLANK(N272),"",CONCATENATE(LEFT(F272,15),".",INDEX(Ref!A:A,MATCH(N272,Ref!$K$1:$K$333,0))))</f>
        <v/>
      </c>
      <c r="H272" s="181"/>
      <c r="I272" s="183"/>
      <c r="J272" s="181"/>
      <c r="K272" s="181"/>
      <c r="L272" s="182"/>
      <c r="M272" s="182"/>
      <c r="N272" s="183"/>
      <c r="O272" s="182"/>
      <c r="P272" s="182"/>
      <c r="Q272" s="184"/>
      <c r="R272" s="184"/>
      <c r="S272" s="185" t="str">
        <f>IFERROR(CLEAN(INDEX('Risk Matrix'!$H$7:$L$11,MATCH($Q272,'Risk Matrix'!$F$7:$F$11,0),MATCH($R272,'Risk Matrix'!$H$6:$L$6,0))),"")</f>
        <v/>
      </c>
      <c r="T272" s="85" t="str">
        <f>IF(LEFT($B272,7)=RIGHT('SOP template'!$B$1,7),_xlfn.NUMBERVALUE(RIGHT($S272,2)),"")</f>
        <v/>
      </c>
      <c r="U272" s="182"/>
      <c r="V272" s="182"/>
      <c r="W272" s="182"/>
      <c r="X272" s="182"/>
      <c r="Y272" s="182"/>
      <c r="Z272" s="183"/>
      <c r="AA272" s="186" t="str">
        <f>IFERROR(VLOOKUP(IFERROR(LEFT(S272,4),""),Ref!$AF$2:$AG$5,2,0),"")</f>
        <v/>
      </c>
      <c r="AB272" s="186"/>
      <c r="AC272" s="218"/>
      <c r="AD272" s="187" t="str">
        <f>IFERROR(VLOOKUP(AC272,'Training Matrix'!B$4:C$24,2,0),"")</f>
        <v/>
      </c>
      <c r="AE272" s="218"/>
      <c r="AF272" s="188" t="str">
        <f t="shared" si="360"/>
        <v/>
      </c>
      <c r="AG272" s="189" t="str">
        <f t="shared" ca="1" si="361"/>
        <v/>
      </c>
      <c r="AH272" s="50" t="str">
        <f t="shared" ref="AH272" si="368">IF(OR(AC272="",AE272=""),"",CONCATENATE(AC272,"_",K256,"_",L256))</f>
        <v/>
      </c>
    </row>
    <row r="273" spans="1:34" x14ac:dyDescent="0.25">
      <c r="A273" s="5" t="str">
        <f>IF(LEFT(F273,15)='SOP template'!$B$1,1,"")</f>
        <v/>
      </c>
      <c r="B273" s="190" t="str">
        <f t="shared" si="358"/>
        <v>SOP.015.18</v>
      </c>
      <c r="C273" s="190" t="str">
        <f t="shared" si="347"/>
        <v>SOP.015.</v>
      </c>
      <c r="D273" s="190" t="str">
        <f t="shared" si="348"/>
        <v>SOP.015.</v>
      </c>
      <c r="E273" s="190">
        <f t="shared" si="352"/>
        <v>18</v>
      </c>
      <c r="F273" s="190" t="str">
        <f t="shared" si="359"/>
        <v>ALP.BSP.SOP.015.18</v>
      </c>
      <c r="G273" s="190" t="str">
        <f>IF(ISBLANK(N273),"",CONCATENATE(LEFT(F273,15),".",INDEX(Ref!A:A,MATCH(N273,Ref!$K$1:$K$333,0))))</f>
        <v/>
      </c>
      <c r="H273" s="181"/>
      <c r="I273" s="183"/>
      <c r="J273" s="181"/>
      <c r="K273" s="181"/>
      <c r="L273" s="182"/>
      <c r="M273" s="182"/>
      <c r="N273" s="183"/>
      <c r="O273" s="182"/>
      <c r="P273" s="182"/>
      <c r="Q273" s="184"/>
      <c r="R273" s="184"/>
      <c r="S273" s="185" t="str">
        <f>IFERROR(CLEAN(INDEX('Risk Matrix'!$H$7:$L$11,MATCH($Q273,'Risk Matrix'!$F$7:$F$11,0),MATCH($R273,'Risk Matrix'!$H$6:$L$6,0))),"")</f>
        <v/>
      </c>
      <c r="T273" s="85" t="str">
        <f>IF(LEFT($B273,7)=RIGHT('SOP template'!$B$1,7),_xlfn.NUMBERVALUE(RIGHT($S273,2)),"")</f>
        <v/>
      </c>
      <c r="U273" s="182"/>
      <c r="V273" s="182"/>
      <c r="W273" s="182"/>
      <c r="X273" s="182"/>
      <c r="Y273" s="182"/>
      <c r="Z273" s="183"/>
      <c r="AA273" s="186" t="str">
        <f>IFERROR(VLOOKUP(IFERROR(LEFT(S273,4),""),Ref!$AF$2:$AG$5,2,0),"")</f>
        <v/>
      </c>
      <c r="AB273" s="186"/>
      <c r="AC273" s="218"/>
      <c r="AD273" s="187" t="str">
        <f>IFERROR(VLOOKUP(AC273,'Training Matrix'!B$4:C$24,2,0),"")</f>
        <v/>
      </c>
      <c r="AE273" s="218"/>
      <c r="AF273" s="188" t="str">
        <f t="shared" si="360"/>
        <v/>
      </c>
      <c r="AG273" s="189" t="str">
        <f t="shared" ca="1" si="361"/>
        <v/>
      </c>
      <c r="AH273" s="50" t="str">
        <f t="shared" ref="AH273" si="369">IF(OR(AC273="",AE273=""),"",CONCATENATE(AC273,"_",K256,"_",L256))</f>
        <v/>
      </c>
    </row>
    <row r="274" spans="1:34" ht="45" x14ac:dyDescent="0.25">
      <c r="A274" s="5" t="str">
        <f>IF(LEFT(F274,15)='SOP template'!$B$1,1,"")</f>
        <v/>
      </c>
      <c r="B274" s="179" t="str">
        <f t="shared" ref="B274" si="370">IF(ISBLANK($K274),CONCATENATE($B$2,".",TEXT(J274,"000"),".",$E274),CONCATENATE(RIGHT($K274,7),".1"))</f>
        <v>SOP.016.1</v>
      </c>
      <c r="C274" s="179" t="str">
        <f>IF(ISBLANK($K274),CONCATENATE(LEFT(#REF!,8),IF($E274=1,1.1,IF($E274=2,1.4,IF($E274=3,2,IF($E274=4,2.4,IF($E274=5,3,IF($E274=6,3.4,IF($E274=7,4,IF($E274=8,4.4,IF($E274=9,5,IF($E274=10,5.4,IF($E274=11,6,IF($E274=12,6.4,""))))))))))))),CONCATENATE(RIGHT($K274,7),".1"))</f>
        <v>SOP.016.1</v>
      </c>
      <c r="D274" s="179" t="str">
        <f>IF(ISBLANK($K274),CONCATENATE(LEFT(#REF!,8),IF($E274=1,1,IF($E274=2,1.3,IF($E274=3,1.5,IF($E274=4,2,IF($E274=5,2.3,IF($E274=6,2.5,IF($E274=7,3,IF($E274=8,3.3,IF($E274=9,3.5,IF($E274=10,4,IF($E274=11,4.3,IF($E274=12,4.5,""))))))))))))),CONCATENATE(RIGHT($K274,7),".1"))</f>
        <v>SOP.016.1</v>
      </c>
      <c r="E274" s="179">
        <f t="shared" si="352"/>
        <v>1</v>
      </c>
      <c r="F274" s="179" t="str">
        <f t="shared" ref="F274" si="371">K274&amp;"."&amp;TEXT(E274,"00")</f>
        <v>ALP.BSP.SOP.016.01</v>
      </c>
      <c r="G274" s="179" t="str">
        <f>IF(ISBLANK(N274),"",CONCATENATE(LEFT(F274,15),".",INDEX(Ref!A:A,MATCH(N274,Ref!$K$1:$K$333,0))))</f>
        <v>ALP.BSP.SOP.016.1</v>
      </c>
      <c r="H274" s="217" t="s">
        <v>394</v>
      </c>
      <c r="I274" s="217" t="s">
        <v>275</v>
      </c>
      <c r="J274" s="180">
        <v>16</v>
      </c>
      <c r="K274" s="181" t="str">
        <f>IFERROR(CONCATENATE(INDEX(Ref!$Z$2:$Z$8,MATCH(H274,Ref!$AA$2:$AA$8,0)),".",I274,".SOP.",TEXT(J274,"000")),CONCATENATE(H274,".",I274,".SOP.",TEXT(J274,"000")))</f>
        <v>ALP.BSP.SOP.016</v>
      </c>
      <c r="L274" s="191" t="s">
        <v>984</v>
      </c>
      <c r="M274" s="182" t="s">
        <v>985</v>
      </c>
      <c r="N274" s="183" t="s">
        <v>117</v>
      </c>
      <c r="O274" s="182" t="s">
        <v>986</v>
      </c>
      <c r="P274" s="182" t="s">
        <v>987</v>
      </c>
      <c r="Q274" s="184" t="s">
        <v>92</v>
      </c>
      <c r="R274" s="184" t="s">
        <v>91</v>
      </c>
      <c r="S274" s="185" t="str">
        <f>IFERROR(CLEAN(INDEX('Risk Matrix'!$H$7:$L$11,MATCH($Q274,'Risk Matrix'!$F$7:$F$11,0),MATCH($R274,'Risk Matrix'!$H$6:$L$6,0))),"")</f>
        <v>Medium 2</v>
      </c>
      <c r="T274" s="85" t="str">
        <f>IF(LEFT($B274,7)=RIGHT('SOP template'!$B$1,7),_xlfn.NUMBERVALUE(RIGHT($S274,2)),"")</f>
        <v/>
      </c>
      <c r="U274" s="182" t="s">
        <v>820</v>
      </c>
      <c r="V274" s="182" t="s">
        <v>821</v>
      </c>
      <c r="W274" s="182" t="s">
        <v>822</v>
      </c>
      <c r="X274" s="182" t="s">
        <v>823</v>
      </c>
      <c r="Y274" s="182" t="s">
        <v>824</v>
      </c>
      <c r="Z274" s="182" t="s">
        <v>825</v>
      </c>
      <c r="AA274" s="186">
        <f>IFERROR(VLOOKUP(IFERROR(LEFT(S274,4),""),Ref!$AF$2:$AG$5,2,0),"")</f>
        <v>24</v>
      </c>
      <c r="AB274" s="186">
        <f>MIN($AA274:$AA291)</f>
        <v>24</v>
      </c>
      <c r="AC274" s="218" t="s">
        <v>289</v>
      </c>
      <c r="AD274" s="187" t="str">
        <f>IFERROR(VLOOKUP(AC274,'Training Matrix'!B$4:C$24,2,0),"")</f>
        <v>Dock Manager</v>
      </c>
      <c r="AE274" s="221">
        <v>45792</v>
      </c>
      <c r="AF274" s="188">
        <f t="shared" si="360"/>
        <v>46522</v>
      </c>
      <c r="AG274" s="189" t="str">
        <f t="shared" ca="1" si="361"/>
        <v>Current</v>
      </c>
      <c r="AH274" s="50" t="str">
        <f t="shared" ref="AH274" si="372">IF(OR(AC274="",AE274=""),"",CONCATENATE(AC274,"_",K274,"_",L274))</f>
        <v>Person 1_ALP.BSP.SOP.016_Preparation of Formalin</v>
      </c>
    </row>
    <row r="275" spans="1:34" ht="45" x14ac:dyDescent="0.25">
      <c r="A275" s="5" t="str">
        <f>IF(LEFT(F275,15)='SOP template'!$B$1,1,"")</f>
        <v/>
      </c>
      <c r="B275" s="190" t="str">
        <f t="shared" ref="B275" si="373">CONCATENATE(LEFT(B274,8),E275)</f>
        <v>SOP.016.2</v>
      </c>
      <c r="C275" s="190" t="str">
        <f>IF(ISBLANK($K275),CONCATENATE(LEFT($B274,8),IF($E275=1,1.1,IF($E275=2,1.4,IF($E275=3,2,IF($E275=4,2.4,IF($E275=5,3,IF($E275=6,3.4,IF($E275=7,4,IF($E275=8,4.4,IF($E275=9,5,IF($E275=10,5.4,IF($E275=11,6,IF($E275=12,6.4,""))))))))))))),CONCATENATE(RIGHT($K275,7),".1"))</f>
        <v>SOP.016.1.4</v>
      </c>
      <c r="D275" s="190" t="str">
        <f>IF(ISBLANK($K275),CONCATENATE(LEFT($B274,8),IF($E275=1,1,IF($E275=2,1.3,IF($E275=3,1.5,IF($E275=4,2,IF($E275=5,2.3,IF($E275=6,2.5,IF($E275=7,3,IF($E275=8,3.3,IF($E275=9,3.5,IF($E275=10,4,IF($E275=11,4.3,IF($E275=12,4.5,""))))))))))))),CONCATENATE(RIGHT($K275,7),".1"))</f>
        <v>SOP.016.1.3</v>
      </c>
      <c r="E275" s="190">
        <f t="shared" si="352"/>
        <v>2</v>
      </c>
      <c r="F275" s="190" t="str">
        <f t="shared" ref="F275" si="374">IF(K275=0,LEFT(F274,16)&amp;TEXT(E275,"00"),K275&amp;"."&amp;TEXT(E275,"00"))</f>
        <v>ALP.BSP.SOP.016.02</v>
      </c>
      <c r="G275" s="190" t="str">
        <f>IF(ISBLANK(N275),"",CONCATENATE(LEFT(F275,15),".",INDEX(Ref!A:A,MATCH(N275,Ref!$K$1:$K$333,0))))</f>
        <v>ALP.BSP.SOP.016.5</v>
      </c>
      <c r="H275" s="181"/>
      <c r="I275" s="183"/>
      <c r="J275" s="181"/>
      <c r="K275" s="181"/>
      <c r="L275" s="182"/>
      <c r="M275" s="182"/>
      <c r="N275" s="183" t="s">
        <v>120</v>
      </c>
      <c r="O275" s="182" t="s">
        <v>988</v>
      </c>
      <c r="P275" s="182" t="s">
        <v>989</v>
      </c>
      <c r="Q275" s="184" t="s">
        <v>89</v>
      </c>
      <c r="R275" s="184" t="s">
        <v>91</v>
      </c>
      <c r="S275" s="185" t="str">
        <f>IFERROR(CLEAN(INDEX('Risk Matrix'!$H$7:$L$11,MATCH($Q275,'Risk Matrix'!$F$7:$F$11,0),MATCH($R275,'Risk Matrix'!$H$6:$L$6,0))),"")</f>
        <v>Low 1</v>
      </c>
      <c r="T275" s="85" t="str">
        <f>IF(LEFT($B275,7)=RIGHT('SOP template'!$B$1,7),_xlfn.NUMBERVALUE(RIGHT($S275,2)),"")</f>
        <v/>
      </c>
      <c r="U275" s="182" t="s">
        <v>826</v>
      </c>
      <c r="V275" s="182" t="s">
        <v>827</v>
      </c>
      <c r="W275" s="182" t="s">
        <v>828</v>
      </c>
      <c r="X275" s="182" t="s">
        <v>829</v>
      </c>
      <c r="Y275" s="191" t="s">
        <v>830</v>
      </c>
      <c r="Z275" s="182" t="s">
        <v>831</v>
      </c>
      <c r="AA275" s="186">
        <f>IFERROR(VLOOKUP(IFERROR(LEFT(S275,4),""),Ref!$AF$2:$AG$5,2,0),"")</f>
        <v>36</v>
      </c>
      <c r="AB275" s="186"/>
      <c r="AC275" s="218" t="s">
        <v>290</v>
      </c>
      <c r="AD275" s="187" t="str">
        <f>IFERROR(VLOOKUP(AC275,'Training Matrix'!B$4:C$24,2,0),"")</f>
        <v>WHS Team member</v>
      </c>
      <c r="AE275" s="221">
        <v>45792</v>
      </c>
      <c r="AF275" s="188">
        <f t="shared" si="360"/>
        <v>46522</v>
      </c>
      <c r="AG275" s="189" t="str">
        <f t="shared" ca="1" si="361"/>
        <v>Current</v>
      </c>
      <c r="AH275" s="50" t="str">
        <f t="shared" ref="AH275" si="375">IF(OR(AC275="",AE275=""),"",CONCATENATE(AC275,"_",K274,"_",L274))</f>
        <v>Person 2_ALP.BSP.SOP.016_Preparation of Formalin</v>
      </c>
    </row>
    <row r="276" spans="1:34" ht="45" x14ac:dyDescent="0.25">
      <c r="A276" s="5" t="str">
        <f>IF(LEFT(F276,15)='SOP template'!$B$1,1,"")</f>
        <v/>
      </c>
      <c r="B276" s="190" t="str">
        <f t="shared" si="328"/>
        <v>SOP.016.3</v>
      </c>
      <c r="C276" s="190" t="str">
        <f t="shared" ref="C276:C291" si="376">IF(ISBLANK($K276),CONCATENATE(LEFT($B275,8),IF($E276=1,1.1,IF($E276=2,1.4,IF($E276=3,2,IF($E276=4,2.4,IF($E276=5,3,IF($E276=6,3.4,IF($E276=7,4,IF($E276=8,4.4,IF($E276=9,5,IF($E276=10,5.4,IF($E276=11,6,IF($E276=12,6.4,""))))))))))))),CONCATENATE(RIGHT($K276,7),".1"))</f>
        <v>SOP.016.2</v>
      </c>
      <c r="D276" s="190" t="str">
        <f t="shared" ref="D276:D291" si="377">IF(ISBLANK($K276),CONCATENATE(LEFT($B275,8),IF($E276=1,1,IF($E276=2,1.3,IF($E276=3,1.5,IF($E276=4,2,IF($E276=5,2.3,IF($E276=6,2.5,IF($E276=7,3,IF($E276=8,3.3,IF($E276=9,3.5,IF($E276=10,4,IF($E276=11,4.3,IF($E276=12,4.5,""))))))))))))),CONCATENATE(RIGHT($K276,7),".1"))</f>
        <v>SOP.016.1.5</v>
      </c>
      <c r="E276" s="190">
        <f t="shared" si="352"/>
        <v>3</v>
      </c>
      <c r="F276" s="190" t="str">
        <f t="shared" si="345"/>
        <v>ALP.BSP.SOP.016.03</v>
      </c>
      <c r="G276" s="190" t="str">
        <f>IF(ISBLANK(N276),"",CONCATENATE(LEFT(F276,15),".",INDEX(Ref!A:A,MATCH(N276,Ref!$K$1:$K$333,0))))</f>
        <v>ALP.BSP.SOP.016.7</v>
      </c>
      <c r="H276" s="181"/>
      <c r="I276" s="183"/>
      <c r="J276" s="181"/>
      <c r="K276" s="181"/>
      <c r="L276" s="182"/>
      <c r="M276" s="182"/>
      <c r="N276" s="183" t="s">
        <v>88</v>
      </c>
      <c r="O276" s="182" t="s">
        <v>548</v>
      </c>
      <c r="P276" s="182" t="s">
        <v>549</v>
      </c>
      <c r="Q276" s="184" t="s">
        <v>89</v>
      </c>
      <c r="R276" s="184" t="s">
        <v>91</v>
      </c>
      <c r="S276" s="185" t="str">
        <f>IFERROR(CLEAN(INDEX('Risk Matrix'!$H$7:$L$11,MATCH($Q276,'Risk Matrix'!$F$7:$F$11,0),MATCH($R276,'Risk Matrix'!$H$6:$L$6,0))),"")</f>
        <v>Low 1</v>
      </c>
      <c r="T276" s="85" t="str">
        <f>IF(LEFT($B276,7)=RIGHT('SOP template'!$B$1,7),_xlfn.NUMBERVALUE(RIGHT($S276,2)),"")</f>
        <v/>
      </c>
      <c r="U276" s="182" t="s">
        <v>663</v>
      </c>
      <c r="V276" s="182" t="s">
        <v>832</v>
      </c>
      <c r="W276" s="182" t="s">
        <v>833</v>
      </c>
      <c r="X276" s="182" t="s">
        <v>834</v>
      </c>
      <c r="Y276" s="182" t="s">
        <v>835</v>
      </c>
      <c r="Z276" s="182" t="s">
        <v>836</v>
      </c>
      <c r="AA276" s="186">
        <f>IFERROR(VLOOKUP(IFERROR(LEFT(S276,4),""),Ref!$AF$2:$AG$5,2,0),"")</f>
        <v>36</v>
      </c>
      <c r="AB276" s="186"/>
      <c r="AC276" s="218" t="s">
        <v>167</v>
      </c>
      <c r="AD276" s="187" t="str">
        <f>IFERROR(VLOOKUP(AC276,'Training Matrix'!B$4:C$24,2,0),"")</f>
        <v>Bioscience Manager</v>
      </c>
      <c r="AE276" s="221">
        <v>45792</v>
      </c>
      <c r="AF276" s="188">
        <f t="shared" si="360"/>
        <v>46522</v>
      </c>
      <c r="AG276" s="189" t="str">
        <f t="shared" ca="1" si="361"/>
        <v>Current</v>
      </c>
      <c r="AH276" s="50" t="str">
        <f t="shared" ref="AH276" si="378">IF(OR(AC276="",AE276=""),"",CONCATENATE(AC276,"_",K274,"_",L274))</f>
        <v>Person 3_ALP.BSP.SOP.016_Preparation of Formalin</v>
      </c>
    </row>
    <row r="277" spans="1:34" ht="45" x14ac:dyDescent="0.25">
      <c r="A277" s="5" t="str">
        <f>IF(LEFT(F277,15)='SOP template'!$B$1,1,"")</f>
        <v/>
      </c>
      <c r="B277" s="190" t="str">
        <f t="shared" si="328"/>
        <v>SOP.016.4</v>
      </c>
      <c r="C277" s="190" t="str">
        <f t="shared" si="376"/>
        <v>SOP.016.2.4</v>
      </c>
      <c r="D277" s="190" t="str">
        <f t="shared" si="377"/>
        <v>SOP.016.2</v>
      </c>
      <c r="E277" s="190">
        <f t="shared" si="352"/>
        <v>4</v>
      </c>
      <c r="F277" s="190" t="str">
        <f t="shared" si="345"/>
        <v>ALP.BSP.SOP.016.04</v>
      </c>
      <c r="G277" s="190" t="str">
        <f>IF(ISBLANK(N277),"",CONCATENATE(LEFT(F277,15),".",INDEX(Ref!A:A,MATCH(N277,Ref!$K$1:$K$333,0))))</f>
        <v>ALP.BSP.SOP.016.12</v>
      </c>
      <c r="H277" s="181"/>
      <c r="I277" s="183"/>
      <c r="J277" s="181"/>
      <c r="K277" s="181"/>
      <c r="L277" s="182"/>
      <c r="M277" s="182"/>
      <c r="N277" s="183" t="s">
        <v>125</v>
      </c>
      <c r="O277" s="182" t="s">
        <v>990</v>
      </c>
      <c r="P277" s="182" t="s">
        <v>987</v>
      </c>
      <c r="Q277" s="184" t="s">
        <v>92</v>
      </c>
      <c r="R277" s="184" t="s">
        <v>90</v>
      </c>
      <c r="S277" s="185" t="str">
        <f>IFERROR(CLEAN(INDEX('Risk Matrix'!$H$7:$L$11,MATCH($Q277,'Risk Matrix'!$F$7:$F$11,0),MATCH($R277,'Risk Matrix'!$H$6:$L$6,0))),"")</f>
        <v>Medium 2</v>
      </c>
      <c r="T277" s="85" t="str">
        <f>IF(LEFT($B277,7)=RIGHT('SOP template'!$B$1,7),_xlfn.NUMBERVALUE(RIGHT($S277,2)),"")</f>
        <v/>
      </c>
      <c r="U277" s="182" t="s">
        <v>668</v>
      </c>
      <c r="V277" s="182" t="s">
        <v>837</v>
      </c>
      <c r="W277" s="182" t="s">
        <v>838</v>
      </c>
      <c r="X277" s="182" t="s">
        <v>839</v>
      </c>
      <c r="Y277" s="182" t="s">
        <v>840</v>
      </c>
      <c r="Z277" s="182" t="s">
        <v>841</v>
      </c>
      <c r="AA277" s="186">
        <f>IFERROR(VLOOKUP(IFERROR(LEFT(S277,4),""),Ref!$AF$2:$AG$5,2,0),"")</f>
        <v>24</v>
      </c>
      <c r="AB277" s="186"/>
      <c r="AC277" s="218" t="s">
        <v>168</v>
      </c>
      <c r="AD277" s="187" t="str">
        <f>IFERROR(VLOOKUP(AC277,'Training Matrix'!B$4:C$24,2,0),"")</f>
        <v>Collection Manager</v>
      </c>
      <c r="AE277" s="221">
        <v>45792</v>
      </c>
      <c r="AF277" s="188">
        <f t="shared" si="360"/>
        <v>46522</v>
      </c>
      <c r="AG277" s="189" t="str">
        <f t="shared" ca="1" si="361"/>
        <v>Current</v>
      </c>
      <c r="AH277" s="50" t="str">
        <f t="shared" ref="AH277" si="379">IF(OR(AC277="",AE277=""),"",CONCATENATE(AC277,"_",K274,"_",L274))</f>
        <v>Person 4_ALP.BSP.SOP.016_Preparation of Formalin</v>
      </c>
    </row>
    <row r="278" spans="1:34" ht="45" x14ac:dyDescent="0.25">
      <c r="A278" s="5" t="str">
        <f>IF(LEFT(F278,15)='SOP template'!$B$1,1,"")</f>
        <v/>
      </c>
      <c r="B278" s="190" t="str">
        <f t="shared" si="328"/>
        <v>SOP.016.5</v>
      </c>
      <c r="C278" s="190" t="str">
        <f t="shared" si="376"/>
        <v>SOP.016.3</v>
      </c>
      <c r="D278" s="190" t="str">
        <f t="shared" si="377"/>
        <v>SOP.016.2.3</v>
      </c>
      <c r="E278" s="190">
        <f t="shared" si="352"/>
        <v>5</v>
      </c>
      <c r="F278" s="190" t="str">
        <f t="shared" si="345"/>
        <v>ALP.BSP.SOP.016.05</v>
      </c>
      <c r="G278" s="190" t="str">
        <f>IF(ISBLANK(N278),"",CONCATENATE(LEFT(F278,15),".",INDEX(Ref!A:A,MATCH(N278,Ref!$K$1:$K$333,0))))</f>
        <v>ALP.BSP.SOP.016.13</v>
      </c>
      <c r="H278" s="181"/>
      <c r="I278" s="183"/>
      <c r="J278" s="181"/>
      <c r="K278" s="181"/>
      <c r="L278" s="182"/>
      <c r="M278" s="182"/>
      <c r="N278" s="183" t="s">
        <v>126</v>
      </c>
      <c r="O278" s="182" t="s">
        <v>991</v>
      </c>
      <c r="P278" s="182" t="s">
        <v>992</v>
      </c>
      <c r="Q278" s="184" t="s">
        <v>89</v>
      </c>
      <c r="R278" s="184" t="s">
        <v>90</v>
      </c>
      <c r="S278" s="185" t="str">
        <f>IFERROR(CLEAN(INDEX('Risk Matrix'!$H$7:$L$11,MATCH($Q278,'Risk Matrix'!$F$7:$F$11,0),MATCH($R278,'Risk Matrix'!$H$6:$L$6,0))),"")</f>
        <v>Medium 2</v>
      </c>
      <c r="T278" s="85" t="str">
        <f>IF(LEFT($B278,7)=RIGHT('SOP template'!$B$1,7),_xlfn.NUMBERVALUE(RIGHT($S278,2)),"")</f>
        <v/>
      </c>
      <c r="U278" s="182" t="s">
        <v>671</v>
      </c>
      <c r="V278" s="182"/>
      <c r="W278" s="182" t="s">
        <v>842</v>
      </c>
      <c r="X278" s="182" t="s">
        <v>843</v>
      </c>
      <c r="Y278" s="182"/>
      <c r="Z278" s="183"/>
      <c r="AA278" s="186">
        <f>IFERROR(VLOOKUP(IFERROR(LEFT(S278,4),""),Ref!$AF$2:$AG$5,2,0),"")</f>
        <v>24</v>
      </c>
      <c r="AB278" s="186"/>
      <c r="AC278" s="218" t="s">
        <v>169</v>
      </c>
      <c r="AD278" s="187" t="str">
        <f>IFERROR(VLOOKUP(AC278,'Training Matrix'!B$4:C$24,2,0),"")</f>
        <v>Technician</v>
      </c>
      <c r="AE278" s="221">
        <v>45792</v>
      </c>
      <c r="AF278" s="188">
        <f t="shared" si="360"/>
        <v>46522</v>
      </c>
      <c r="AG278" s="189" t="str">
        <f t="shared" ca="1" si="361"/>
        <v>Current</v>
      </c>
      <c r="AH278" s="50" t="str">
        <f t="shared" ref="AH278" si="380">IF(OR(AC278="",AE278=""),"",CONCATENATE(AC278,"_",K274,"_",L274))</f>
        <v>Person 5_ALP.BSP.SOP.016_Preparation of Formalin</v>
      </c>
    </row>
    <row r="279" spans="1:34" ht="30" x14ac:dyDescent="0.25">
      <c r="A279" s="5" t="str">
        <f>IF(LEFT(F279,15)='SOP template'!$B$1,1,"")</f>
        <v/>
      </c>
      <c r="B279" s="190" t="str">
        <f t="shared" si="328"/>
        <v>SOP.016.6</v>
      </c>
      <c r="C279" s="190" t="str">
        <f t="shared" si="376"/>
        <v>SOP.016.3.4</v>
      </c>
      <c r="D279" s="190" t="str">
        <f t="shared" si="377"/>
        <v>SOP.016.2.5</v>
      </c>
      <c r="E279" s="190">
        <f t="shared" si="352"/>
        <v>6</v>
      </c>
      <c r="F279" s="190" t="str">
        <f t="shared" si="345"/>
        <v>ALP.BSP.SOP.016.06</v>
      </c>
      <c r="G279" s="190" t="str">
        <f>IF(ISBLANK(N279),"",CONCATENATE(LEFT(F279,15),".",INDEX(Ref!A:A,MATCH(N279,Ref!$K$1:$K$333,0))))</f>
        <v>ALP.BSP.SOP.016.20</v>
      </c>
      <c r="H279" s="181"/>
      <c r="I279" s="183"/>
      <c r="J279" s="181"/>
      <c r="K279" s="181"/>
      <c r="L279" s="182"/>
      <c r="M279" s="182"/>
      <c r="N279" s="183" t="s">
        <v>133</v>
      </c>
      <c r="O279" s="182"/>
      <c r="P279" s="182"/>
      <c r="Q279" s="184"/>
      <c r="R279" s="184"/>
      <c r="S279" s="185" t="str">
        <f>IFERROR(CLEAN(INDEX('Risk Matrix'!$H$7:$L$11,MATCH($Q279,'Risk Matrix'!$F$7:$F$11,0),MATCH($R279,'Risk Matrix'!$H$6:$L$6,0))),"")</f>
        <v/>
      </c>
      <c r="T279" s="85" t="str">
        <f>IF(LEFT($B279,7)=RIGHT('SOP template'!$B$1,7),_xlfn.NUMBERVALUE(RIGHT($S279,2)),"")</f>
        <v/>
      </c>
      <c r="U279" s="182"/>
      <c r="V279" s="182"/>
      <c r="W279" s="182"/>
      <c r="X279" s="191" t="s">
        <v>844</v>
      </c>
      <c r="Y279" s="182"/>
      <c r="Z279" s="183"/>
      <c r="AA279" s="186" t="str">
        <f>IFERROR(VLOOKUP(IFERROR(LEFT(S279,4),""),Ref!$AF$2:$AG$5,2,0),"")</f>
        <v/>
      </c>
      <c r="AB279" s="186"/>
      <c r="AC279" s="218" t="s">
        <v>170</v>
      </c>
      <c r="AD279" s="187" t="str">
        <f>IFERROR(VLOOKUP(AC279,'Training Matrix'!B$4:C$24,2,0),"")</f>
        <v>Scientist</v>
      </c>
      <c r="AE279" s="221">
        <v>45792</v>
      </c>
      <c r="AF279" s="188">
        <f t="shared" si="360"/>
        <v>46522</v>
      </c>
      <c r="AG279" s="189" t="str">
        <f t="shared" ca="1" si="361"/>
        <v>Current</v>
      </c>
      <c r="AH279" s="50" t="str">
        <f t="shared" ref="AH279" si="381">IF(OR(AC279="",AE279=""),"",CONCATENATE(AC279,"_",K274,"_",L274))</f>
        <v>Person 6_ALP.BSP.SOP.016_Preparation of Formalin</v>
      </c>
    </row>
    <row r="280" spans="1:34" ht="30" x14ac:dyDescent="0.25">
      <c r="A280" s="5" t="str">
        <f>IF(LEFT(F280,15)='SOP template'!$B$1,1,"")</f>
        <v/>
      </c>
      <c r="B280" s="190" t="str">
        <f t="shared" si="328"/>
        <v>SOP.016.7</v>
      </c>
      <c r="C280" s="190" t="str">
        <f t="shared" si="376"/>
        <v>SOP.016.4</v>
      </c>
      <c r="D280" s="190" t="str">
        <f t="shared" si="377"/>
        <v>SOP.016.3</v>
      </c>
      <c r="E280" s="190">
        <f t="shared" si="352"/>
        <v>7</v>
      </c>
      <c r="F280" s="190" t="str">
        <f t="shared" si="345"/>
        <v>ALP.BSP.SOP.016.07</v>
      </c>
      <c r="G280" s="190" t="str">
        <f>IF(ISBLANK(N280),"",CONCATENATE(LEFT(F280,15),".",INDEX(Ref!A:A,MATCH(N280,Ref!$K$1:$K$333,0))))</f>
        <v>ALP.BSP.SOP.016.25</v>
      </c>
      <c r="H280" s="181"/>
      <c r="I280" s="183"/>
      <c r="J280" s="181"/>
      <c r="K280" s="181"/>
      <c r="L280" s="182"/>
      <c r="M280" s="182"/>
      <c r="N280" s="183" t="s">
        <v>138</v>
      </c>
      <c r="O280" s="182"/>
      <c r="P280" s="182"/>
      <c r="Q280" s="184"/>
      <c r="R280" s="184"/>
      <c r="S280" s="185" t="str">
        <f>IFERROR(CLEAN(INDEX('Risk Matrix'!$H$7:$L$11,MATCH($Q280,'Risk Matrix'!$F$7:$F$11,0),MATCH($R280,'Risk Matrix'!$H$6:$L$6,0))),"")</f>
        <v/>
      </c>
      <c r="T280" s="85" t="str">
        <f>IF(LEFT($B280,7)=RIGHT('SOP template'!$B$1,7),_xlfn.NUMBERVALUE(RIGHT($S280,2)),"")</f>
        <v/>
      </c>
      <c r="U280" s="182"/>
      <c r="V280" s="182"/>
      <c r="W280" s="182"/>
      <c r="X280" s="182" t="s">
        <v>845</v>
      </c>
      <c r="Y280" s="182"/>
      <c r="Z280" s="183"/>
      <c r="AA280" s="186" t="str">
        <f>IFERROR(VLOOKUP(IFERROR(LEFT(S280,4),""),Ref!$AF$2:$AG$5,2,0),"")</f>
        <v/>
      </c>
      <c r="AB280" s="186"/>
      <c r="AC280" s="218"/>
      <c r="AD280" s="187" t="str">
        <f>IFERROR(VLOOKUP(AC280,'Training Matrix'!B$4:C$24,2,0),"")</f>
        <v/>
      </c>
      <c r="AE280" s="221"/>
      <c r="AF280" s="188" t="str">
        <f t="shared" si="360"/>
        <v/>
      </c>
      <c r="AG280" s="189" t="str">
        <f t="shared" ca="1" si="361"/>
        <v/>
      </c>
      <c r="AH280" s="50" t="str">
        <f t="shared" ref="AH280" si="382">IF(OR(AC280="",AE280=""),"",CONCATENATE(AC280,"_",K274,"_",L274))</f>
        <v/>
      </c>
    </row>
    <row r="281" spans="1:34" x14ac:dyDescent="0.25">
      <c r="A281" s="5" t="str">
        <f>IF(LEFT(F281,15)='SOP template'!$B$1,1,"")</f>
        <v/>
      </c>
      <c r="B281" s="190" t="str">
        <f t="shared" si="328"/>
        <v>SOP.016.8</v>
      </c>
      <c r="C281" s="190" t="str">
        <f t="shared" si="376"/>
        <v>SOP.016.4.4</v>
      </c>
      <c r="D281" s="190" t="str">
        <f t="shared" si="377"/>
        <v>SOP.016.3.3</v>
      </c>
      <c r="E281" s="190">
        <f t="shared" si="352"/>
        <v>8</v>
      </c>
      <c r="F281" s="190" t="str">
        <f t="shared" si="345"/>
        <v>ALP.BSP.SOP.016.08</v>
      </c>
      <c r="G281" s="190" t="str">
        <f>IF(ISBLANK(N281),"",CONCATENATE(LEFT(F281,15),".",INDEX(Ref!A:A,MATCH(N281,Ref!$K$1:$K$333,0))))</f>
        <v>ALP.BSP.SOP.016.26</v>
      </c>
      <c r="H281" s="181"/>
      <c r="I281" s="183"/>
      <c r="J281" s="181"/>
      <c r="K281" s="181"/>
      <c r="L281" s="182"/>
      <c r="M281" s="182"/>
      <c r="N281" s="183" t="s">
        <v>139</v>
      </c>
      <c r="O281" s="182"/>
      <c r="P281" s="182"/>
      <c r="Q281" s="184"/>
      <c r="R281" s="184"/>
      <c r="S281" s="185" t="str">
        <f>IFERROR(CLEAN(INDEX('Risk Matrix'!$H$7:$L$11,MATCH($Q281,'Risk Matrix'!$F$7:$F$11,0),MATCH($R281,'Risk Matrix'!$H$6:$L$6,0))),"")</f>
        <v/>
      </c>
      <c r="T281" s="85" t="str">
        <f>IF(LEFT($B281,7)=RIGHT('SOP template'!$B$1,7),_xlfn.NUMBERVALUE(RIGHT($S281,2)),"")</f>
        <v/>
      </c>
      <c r="U281" s="182"/>
      <c r="V281" s="182"/>
      <c r="W281" s="182"/>
      <c r="X281" s="182"/>
      <c r="Y281" s="182"/>
      <c r="Z281" s="183"/>
      <c r="AA281" s="186" t="str">
        <f>IFERROR(VLOOKUP(IFERROR(LEFT(S281,4),""),Ref!$AF$2:$AG$5,2,0),"")</f>
        <v/>
      </c>
      <c r="AB281" s="186"/>
      <c r="AC281" s="218"/>
      <c r="AD281" s="187" t="str">
        <f>IFERROR(VLOOKUP(AC281,'Training Matrix'!B$4:C$24,2,0),"")</f>
        <v/>
      </c>
      <c r="AE281" s="218"/>
      <c r="AF281" s="188" t="str">
        <f t="shared" si="360"/>
        <v/>
      </c>
      <c r="AG281" s="189" t="str">
        <f t="shared" ca="1" si="361"/>
        <v/>
      </c>
      <c r="AH281" s="50" t="str">
        <f t="shared" ref="AH281" si="383">IF(OR(AC281="",AE281=""),"",CONCATENATE(AC281,"_",K274,"_",L274))</f>
        <v/>
      </c>
    </row>
    <row r="282" spans="1:34" x14ac:dyDescent="0.25">
      <c r="A282" s="5" t="str">
        <f>IF(LEFT(F282,15)='SOP template'!$B$1,1,"")</f>
        <v/>
      </c>
      <c r="B282" s="190" t="str">
        <f t="shared" si="328"/>
        <v>SOP.016.9</v>
      </c>
      <c r="C282" s="190" t="str">
        <f t="shared" si="376"/>
        <v>SOP.016.5</v>
      </c>
      <c r="D282" s="190" t="str">
        <f t="shared" si="377"/>
        <v>SOP.016.3.5</v>
      </c>
      <c r="E282" s="190">
        <f t="shared" si="352"/>
        <v>9</v>
      </c>
      <c r="F282" s="190" t="str">
        <f t="shared" si="345"/>
        <v>ALP.BSP.SOP.016.09</v>
      </c>
      <c r="G282" s="190" t="str">
        <f>IF(ISBLANK(N282),"",CONCATENATE(LEFT(F282,15),".",INDEX(Ref!A:A,MATCH(N282,Ref!$K$1:$K$333,0))))</f>
        <v/>
      </c>
      <c r="H282" s="181"/>
      <c r="I282" s="183"/>
      <c r="J282" s="181"/>
      <c r="K282" s="181"/>
      <c r="L282" s="182"/>
      <c r="M282" s="182"/>
      <c r="N282" s="183"/>
      <c r="O282" s="182"/>
      <c r="P282" s="182"/>
      <c r="Q282" s="184"/>
      <c r="R282" s="184"/>
      <c r="S282" s="185" t="str">
        <f>IFERROR(CLEAN(INDEX('Risk Matrix'!$H$7:$L$11,MATCH($Q282,'Risk Matrix'!$F$7:$F$11,0),MATCH($R282,'Risk Matrix'!$H$6:$L$6,0))),"")</f>
        <v/>
      </c>
      <c r="T282" s="85" t="str">
        <f>IF(LEFT($B282,7)=RIGHT('SOP template'!$B$1,7),_xlfn.NUMBERVALUE(RIGHT($S282,2)),"")</f>
        <v/>
      </c>
      <c r="U282" s="182"/>
      <c r="V282" s="182"/>
      <c r="W282" s="182"/>
      <c r="X282" s="182"/>
      <c r="Y282" s="182"/>
      <c r="Z282" s="183"/>
      <c r="AA282" s="186" t="str">
        <f>IFERROR(VLOOKUP(IFERROR(LEFT(S282,4),""),Ref!$AF$2:$AG$5,2,0),"")</f>
        <v/>
      </c>
      <c r="AB282" s="186"/>
      <c r="AC282" s="218"/>
      <c r="AD282" s="187" t="str">
        <f>IFERROR(VLOOKUP(AC282,'Training Matrix'!B$4:C$24,2,0),"")</f>
        <v/>
      </c>
      <c r="AE282" s="218"/>
      <c r="AF282" s="188" t="str">
        <f t="shared" si="360"/>
        <v/>
      </c>
      <c r="AG282" s="189" t="str">
        <f t="shared" ca="1" si="361"/>
        <v/>
      </c>
      <c r="AH282" s="50" t="str">
        <f t="shared" ref="AH282" si="384">IF(OR(AC282="",AE282=""),"",CONCATENATE(AC282,"_",K274,"_",L274))</f>
        <v/>
      </c>
    </row>
    <row r="283" spans="1:34" x14ac:dyDescent="0.25">
      <c r="A283" s="5" t="str">
        <f>IF(LEFT(F283,15)='SOP template'!$B$1,1,"")</f>
        <v/>
      </c>
      <c r="B283" s="190" t="str">
        <f t="shared" si="328"/>
        <v>SOP.016.10</v>
      </c>
      <c r="C283" s="190" t="str">
        <f t="shared" si="376"/>
        <v>SOP.016.5.4</v>
      </c>
      <c r="D283" s="190" t="str">
        <f t="shared" si="377"/>
        <v>SOP.016.4</v>
      </c>
      <c r="E283" s="190">
        <f t="shared" si="352"/>
        <v>10</v>
      </c>
      <c r="F283" s="190" t="str">
        <f t="shared" si="345"/>
        <v>ALP.BSP.SOP.016.10</v>
      </c>
      <c r="G283" s="190" t="str">
        <f>IF(ISBLANK(N283),"",CONCATENATE(LEFT(F283,15),".",INDEX(Ref!A:A,MATCH(N283,Ref!$K$1:$K$333,0))))</f>
        <v/>
      </c>
      <c r="H283" s="181"/>
      <c r="I283" s="183"/>
      <c r="J283" s="181"/>
      <c r="K283" s="181"/>
      <c r="L283" s="182"/>
      <c r="M283" s="182"/>
      <c r="N283" s="183"/>
      <c r="O283" s="182"/>
      <c r="P283" s="182"/>
      <c r="Q283" s="184"/>
      <c r="R283" s="184"/>
      <c r="S283" s="185" t="str">
        <f>IFERROR(CLEAN(INDEX('Risk Matrix'!$H$7:$L$11,MATCH($Q283,'Risk Matrix'!$F$7:$F$11,0),MATCH($R283,'Risk Matrix'!$H$6:$L$6,0))),"")</f>
        <v/>
      </c>
      <c r="T283" s="85" t="str">
        <f>IF(LEFT($B283,7)=RIGHT('SOP template'!$B$1,7),_xlfn.NUMBERVALUE(RIGHT($S283,2)),"")</f>
        <v/>
      </c>
      <c r="U283" s="182"/>
      <c r="V283" s="182"/>
      <c r="W283" s="182"/>
      <c r="X283" s="182"/>
      <c r="Y283" s="182"/>
      <c r="Z283" s="183"/>
      <c r="AA283" s="186" t="str">
        <f>IFERROR(VLOOKUP(IFERROR(LEFT(S283,4),""),Ref!$AF$2:$AG$5,2,0),"")</f>
        <v/>
      </c>
      <c r="AB283" s="186"/>
      <c r="AC283" s="218"/>
      <c r="AD283" s="187" t="str">
        <f>IFERROR(VLOOKUP(AC283,'Training Matrix'!B$4:C$24,2,0),"")</f>
        <v/>
      </c>
      <c r="AE283" s="218"/>
      <c r="AF283" s="188" t="str">
        <f t="shared" si="360"/>
        <v/>
      </c>
      <c r="AG283" s="189" t="str">
        <f t="shared" ca="1" si="361"/>
        <v/>
      </c>
      <c r="AH283" s="50" t="str">
        <f t="shared" ref="AH283" si="385">IF(OR(AC283="",AE283=""),"",CONCATENATE(AC283,"_",K274,"_",L274))</f>
        <v/>
      </c>
    </row>
    <row r="284" spans="1:34" x14ac:dyDescent="0.25">
      <c r="A284" s="5" t="str">
        <f>IF(LEFT(F284,15)='SOP template'!$B$1,1,"")</f>
        <v/>
      </c>
      <c r="B284" s="190" t="str">
        <f t="shared" ref="B284:B291" si="386">CONCATENATE(LEFT(B283,8),E284)</f>
        <v>SOP.016.11</v>
      </c>
      <c r="C284" s="190" t="str">
        <f t="shared" si="376"/>
        <v>SOP.016.6</v>
      </c>
      <c r="D284" s="190" t="str">
        <f t="shared" si="377"/>
        <v>SOP.016.4.3</v>
      </c>
      <c r="E284" s="190">
        <f t="shared" si="352"/>
        <v>11</v>
      </c>
      <c r="F284" s="190" t="str">
        <f t="shared" ref="F284:F291" si="387">IF(K284=0,LEFT(F283,16)&amp;TEXT(E284,"00"),K284&amp;"."&amp;TEXT(E284,"00"))</f>
        <v>ALP.BSP.SOP.016.11</v>
      </c>
      <c r="G284" s="190" t="str">
        <f>IF(ISBLANK(N284),"",CONCATENATE(LEFT(F284,15),".",INDEX(Ref!A:A,MATCH(N284,Ref!$K$1:$K$333,0))))</f>
        <v/>
      </c>
      <c r="H284" s="181"/>
      <c r="I284" s="183"/>
      <c r="J284" s="181"/>
      <c r="K284" s="181"/>
      <c r="L284" s="182"/>
      <c r="M284" s="182"/>
      <c r="N284" s="183"/>
      <c r="O284" s="182"/>
      <c r="P284" s="182"/>
      <c r="Q284" s="184"/>
      <c r="R284" s="184"/>
      <c r="S284" s="185" t="str">
        <f>IFERROR(CLEAN(INDEX('Risk Matrix'!$H$7:$L$11,MATCH($Q284,'Risk Matrix'!$F$7:$F$11,0),MATCH($R284,'Risk Matrix'!$H$6:$L$6,0))),"")</f>
        <v/>
      </c>
      <c r="T284" s="85" t="str">
        <f>IF(LEFT($B284,7)=RIGHT('SOP template'!$B$1,7),_xlfn.NUMBERVALUE(RIGHT($S284,2)),"")</f>
        <v/>
      </c>
      <c r="U284" s="182"/>
      <c r="V284" s="182"/>
      <c r="W284" s="182"/>
      <c r="X284" s="182"/>
      <c r="Y284" s="182"/>
      <c r="Z284" s="183"/>
      <c r="AA284" s="186" t="str">
        <f>IFERROR(VLOOKUP(IFERROR(LEFT(S284,4),""),Ref!$AF$2:$AG$5,2,0),"")</f>
        <v/>
      </c>
      <c r="AB284" s="186"/>
      <c r="AC284" s="218"/>
      <c r="AD284" s="187" t="str">
        <f>IFERROR(VLOOKUP(AC284,'Training Matrix'!B$4:C$24,2,0),"")</f>
        <v/>
      </c>
      <c r="AE284" s="218"/>
      <c r="AF284" s="188" t="str">
        <f t="shared" si="360"/>
        <v/>
      </c>
      <c r="AG284" s="189" t="str">
        <f t="shared" ca="1" si="361"/>
        <v/>
      </c>
      <c r="AH284" s="50" t="str">
        <f t="shared" ref="AH284" si="388">IF(OR(AC284="",AE284=""),"",CONCATENATE(AC284,"_",K274,"_",L274))</f>
        <v/>
      </c>
    </row>
    <row r="285" spans="1:34" x14ac:dyDescent="0.25">
      <c r="A285" s="5" t="str">
        <f>IF(LEFT(F285,15)='SOP template'!$B$1,1,"")</f>
        <v/>
      </c>
      <c r="B285" s="190" t="str">
        <f t="shared" si="386"/>
        <v>SOP.016.12</v>
      </c>
      <c r="C285" s="190" t="str">
        <f t="shared" si="376"/>
        <v>SOP.016.6.4</v>
      </c>
      <c r="D285" s="190" t="str">
        <f t="shared" si="377"/>
        <v>SOP.016.4.5</v>
      </c>
      <c r="E285" s="190">
        <f t="shared" si="352"/>
        <v>12</v>
      </c>
      <c r="F285" s="190" t="str">
        <f t="shared" si="387"/>
        <v>ALP.BSP.SOP.016.12</v>
      </c>
      <c r="G285" s="190" t="str">
        <f>IF(ISBLANK(N285),"",CONCATENATE(LEFT(F285,15),".",INDEX(Ref!A:A,MATCH(N285,Ref!$K$1:$K$333,0))))</f>
        <v/>
      </c>
      <c r="H285" s="181"/>
      <c r="I285" s="183"/>
      <c r="J285" s="181"/>
      <c r="K285" s="181"/>
      <c r="L285" s="182"/>
      <c r="M285" s="182"/>
      <c r="N285" s="183"/>
      <c r="O285" s="182"/>
      <c r="P285" s="182"/>
      <c r="Q285" s="184"/>
      <c r="R285" s="184"/>
      <c r="S285" s="185" t="str">
        <f>IFERROR(CLEAN(INDEX('Risk Matrix'!$H$7:$L$11,MATCH($Q285,'Risk Matrix'!$F$7:$F$11,0),MATCH($R285,'Risk Matrix'!$H$6:$L$6,0))),"")</f>
        <v/>
      </c>
      <c r="T285" s="85" t="str">
        <f>IF(LEFT($B285,7)=RIGHT('SOP template'!$B$1,7),_xlfn.NUMBERVALUE(RIGHT($S285,2)),"")</f>
        <v/>
      </c>
      <c r="U285" s="182"/>
      <c r="V285" s="182"/>
      <c r="W285" s="182"/>
      <c r="X285" s="182"/>
      <c r="Y285" s="182"/>
      <c r="Z285" s="183"/>
      <c r="AA285" s="186" t="str">
        <f>IFERROR(VLOOKUP(IFERROR(LEFT(S285,4),""),Ref!$AF$2:$AG$5,2,0),"")</f>
        <v/>
      </c>
      <c r="AB285" s="186"/>
      <c r="AC285" s="218"/>
      <c r="AD285" s="187" t="str">
        <f>IFERROR(VLOOKUP(AC285,'Training Matrix'!B$4:C$24,2,0),"")</f>
        <v/>
      </c>
      <c r="AE285" s="218"/>
      <c r="AF285" s="188" t="str">
        <f t="shared" si="360"/>
        <v/>
      </c>
      <c r="AG285" s="189" t="str">
        <f t="shared" ca="1" si="361"/>
        <v/>
      </c>
      <c r="AH285" s="50" t="str">
        <f t="shared" ref="AH285" si="389">IF(OR(AC285="",AE285=""),"",CONCATENATE(AC285,"_",K274,"_",L274))</f>
        <v/>
      </c>
    </row>
    <row r="286" spans="1:34" x14ac:dyDescent="0.25">
      <c r="A286" s="5" t="str">
        <f>IF(LEFT(F286,15)='SOP template'!$B$1,1,"")</f>
        <v/>
      </c>
      <c r="B286" s="190" t="str">
        <f t="shared" si="386"/>
        <v>SOP.016.13</v>
      </c>
      <c r="C286" s="190" t="str">
        <f t="shared" si="376"/>
        <v>SOP.016.</v>
      </c>
      <c r="D286" s="190" t="str">
        <f t="shared" si="377"/>
        <v>SOP.016.</v>
      </c>
      <c r="E286" s="190">
        <f t="shared" si="352"/>
        <v>13</v>
      </c>
      <c r="F286" s="190" t="str">
        <f t="shared" si="387"/>
        <v>ALP.BSP.SOP.016.13</v>
      </c>
      <c r="G286" s="190" t="str">
        <f>IF(ISBLANK(N286),"",CONCATENATE(LEFT(F286,15),".",INDEX(Ref!A:A,MATCH(N286,Ref!$K$1:$K$333,0))))</f>
        <v/>
      </c>
      <c r="H286" s="181"/>
      <c r="I286" s="183"/>
      <c r="J286" s="181"/>
      <c r="K286" s="181"/>
      <c r="L286" s="182"/>
      <c r="M286" s="182"/>
      <c r="N286" s="183"/>
      <c r="O286" s="182"/>
      <c r="P286" s="182"/>
      <c r="Q286" s="184"/>
      <c r="R286" s="184"/>
      <c r="S286" s="185" t="str">
        <f>IFERROR(CLEAN(INDEX('Risk Matrix'!$H$7:$L$11,MATCH($Q286,'Risk Matrix'!$F$7:$F$11,0),MATCH($R286,'Risk Matrix'!$H$6:$L$6,0))),"")</f>
        <v/>
      </c>
      <c r="T286" s="85" t="str">
        <f>IF(LEFT($B286,7)=RIGHT('SOP template'!$B$1,7),_xlfn.NUMBERVALUE(RIGHT($S286,2)),"")</f>
        <v/>
      </c>
      <c r="U286" s="182"/>
      <c r="V286" s="182"/>
      <c r="W286" s="182"/>
      <c r="X286" s="182"/>
      <c r="Y286" s="182"/>
      <c r="Z286" s="183"/>
      <c r="AA286" s="186" t="str">
        <f>IFERROR(VLOOKUP(IFERROR(LEFT(S286,4),""),Ref!$AF$2:$AG$5,2,0),"")</f>
        <v/>
      </c>
      <c r="AB286" s="186"/>
      <c r="AC286" s="218"/>
      <c r="AD286" s="187" t="str">
        <f>IFERROR(VLOOKUP(AC286,'Training Matrix'!B$4:C$24,2,0),"")</f>
        <v/>
      </c>
      <c r="AE286" s="218"/>
      <c r="AF286" s="188" t="str">
        <f t="shared" si="360"/>
        <v/>
      </c>
      <c r="AG286" s="189" t="str">
        <f t="shared" ca="1" si="361"/>
        <v/>
      </c>
      <c r="AH286" s="50" t="str">
        <f t="shared" ref="AH286" si="390">IF(OR(AC286="",AE286=""),"",CONCATENATE(AC286,"_",K274,"_",L274))</f>
        <v/>
      </c>
    </row>
    <row r="287" spans="1:34" x14ac:dyDescent="0.25">
      <c r="A287" s="5" t="str">
        <f>IF(LEFT(F287,15)='SOP template'!$B$1,1,"")</f>
        <v/>
      </c>
      <c r="B287" s="190" t="str">
        <f t="shared" si="386"/>
        <v>SOP.016.14</v>
      </c>
      <c r="C287" s="190" t="str">
        <f t="shared" si="376"/>
        <v>SOP.016.</v>
      </c>
      <c r="D287" s="190" t="str">
        <f t="shared" si="377"/>
        <v>SOP.016.</v>
      </c>
      <c r="E287" s="190">
        <f t="shared" si="352"/>
        <v>14</v>
      </c>
      <c r="F287" s="190" t="str">
        <f t="shared" si="387"/>
        <v>ALP.BSP.SOP.016.14</v>
      </c>
      <c r="G287" s="190" t="str">
        <f>IF(ISBLANK(N287),"",CONCATENATE(LEFT(F287,15),".",INDEX(Ref!A:A,MATCH(N287,Ref!$K$1:$K$333,0))))</f>
        <v/>
      </c>
      <c r="H287" s="181"/>
      <c r="I287" s="183"/>
      <c r="J287" s="181"/>
      <c r="K287" s="181"/>
      <c r="L287" s="182"/>
      <c r="M287" s="182"/>
      <c r="N287" s="183"/>
      <c r="O287" s="182"/>
      <c r="P287" s="182"/>
      <c r="Q287" s="184"/>
      <c r="R287" s="184"/>
      <c r="S287" s="185" t="str">
        <f>IFERROR(CLEAN(INDEX('Risk Matrix'!$H$7:$L$11,MATCH($Q287,'Risk Matrix'!$F$7:$F$11,0),MATCH($R287,'Risk Matrix'!$H$6:$L$6,0))),"")</f>
        <v/>
      </c>
      <c r="T287" s="85" t="str">
        <f>IF(LEFT($B287,7)=RIGHT('SOP template'!$B$1,7),_xlfn.NUMBERVALUE(RIGHT($S287,2)),"")</f>
        <v/>
      </c>
      <c r="U287" s="182"/>
      <c r="V287" s="182"/>
      <c r="W287" s="182"/>
      <c r="X287" s="182"/>
      <c r="Y287" s="182"/>
      <c r="Z287" s="183"/>
      <c r="AA287" s="186" t="str">
        <f>IFERROR(VLOOKUP(IFERROR(LEFT(S287,4),""),Ref!$AF$2:$AG$5,2,0),"")</f>
        <v/>
      </c>
      <c r="AB287" s="186"/>
      <c r="AC287" s="218"/>
      <c r="AD287" s="187" t="str">
        <f>IFERROR(VLOOKUP(AC287,'Training Matrix'!B$4:C$24,2,0),"")</f>
        <v/>
      </c>
      <c r="AE287" s="218"/>
      <c r="AF287" s="188" t="str">
        <f t="shared" si="360"/>
        <v/>
      </c>
      <c r="AG287" s="189" t="str">
        <f t="shared" ca="1" si="361"/>
        <v/>
      </c>
      <c r="AH287" s="50" t="str">
        <f t="shared" ref="AH287" si="391">IF(OR(AC287="",AE287=""),"",CONCATENATE(AC287,"_",K274,"_",L274))</f>
        <v/>
      </c>
    </row>
    <row r="288" spans="1:34" x14ac:dyDescent="0.25">
      <c r="A288" s="5" t="str">
        <f>IF(LEFT(F288,15)='SOP template'!$B$1,1,"")</f>
        <v/>
      </c>
      <c r="B288" s="190" t="str">
        <f t="shared" si="386"/>
        <v>SOP.016.15</v>
      </c>
      <c r="C288" s="190" t="str">
        <f t="shared" si="376"/>
        <v>SOP.016.</v>
      </c>
      <c r="D288" s="190" t="str">
        <f t="shared" si="377"/>
        <v>SOP.016.</v>
      </c>
      <c r="E288" s="190">
        <f t="shared" si="352"/>
        <v>15</v>
      </c>
      <c r="F288" s="190" t="str">
        <f t="shared" si="387"/>
        <v>ALP.BSP.SOP.016.15</v>
      </c>
      <c r="G288" s="190" t="str">
        <f>IF(ISBLANK(N288),"",CONCATENATE(LEFT(F288,15),".",INDEX(Ref!A:A,MATCH(N288,Ref!$K$1:$K$333,0))))</f>
        <v/>
      </c>
      <c r="H288" s="181"/>
      <c r="I288" s="183"/>
      <c r="J288" s="181"/>
      <c r="K288" s="181"/>
      <c r="L288" s="182"/>
      <c r="M288" s="182"/>
      <c r="N288" s="183"/>
      <c r="O288" s="182"/>
      <c r="P288" s="182"/>
      <c r="Q288" s="184"/>
      <c r="R288" s="184"/>
      <c r="S288" s="185" t="str">
        <f>IFERROR(CLEAN(INDEX('Risk Matrix'!$H$7:$L$11,MATCH($Q288,'Risk Matrix'!$F$7:$F$11,0),MATCH($R288,'Risk Matrix'!$H$6:$L$6,0))),"")</f>
        <v/>
      </c>
      <c r="T288" s="85" t="str">
        <f>IF(LEFT($B288,7)=RIGHT('SOP template'!$B$1,7),_xlfn.NUMBERVALUE(RIGHT($S288,2)),"")</f>
        <v/>
      </c>
      <c r="U288" s="182"/>
      <c r="V288" s="182"/>
      <c r="W288" s="182"/>
      <c r="X288" s="182"/>
      <c r="Y288" s="182"/>
      <c r="Z288" s="183"/>
      <c r="AA288" s="186" t="str">
        <f>IFERROR(VLOOKUP(IFERROR(LEFT(S288,4),""),Ref!$AF$2:$AG$5,2,0),"")</f>
        <v/>
      </c>
      <c r="AB288" s="186"/>
      <c r="AC288" s="218"/>
      <c r="AD288" s="187" t="str">
        <f>IFERROR(VLOOKUP(AC288,'Training Matrix'!B$4:C$24,2,0),"")</f>
        <v/>
      </c>
      <c r="AE288" s="218"/>
      <c r="AF288" s="188" t="str">
        <f t="shared" si="360"/>
        <v/>
      </c>
      <c r="AG288" s="189" t="str">
        <f t="shared" ca="1" si="361"/>
        <v/>
      </c>
      <c r="AH288" s="50" t="str">
        <f t="shared" ref="AH288" si="392">IF(OR(AC288="",AE288=""),"",CONCATENATE(AC288,"_",K274,"_",L274))</f>
        <v/>
      </c>
    </row>
    <row r="289" spans="1:34" x14ac:dyDescent="0.25">
      <c r="A289" s="5" t="str">
        <f>IF(LEFT(F289,15)='SOP template'!$B$1,1,"")</f>
        <v/>
      </c>
      <c r="B289" s="190" t="str">
        <f t="shared" si="386"/>
        <v>SOP.016.16</v>
      </c>
      <c r="C289" s="190" t="str">
        <f t="shared" si="376"/>
        <v>SOP.016.</v>
      </c>
      <c r="D289" s="190" t="str">
        <f t="shared" si="377"/>
        <v>SOP.016.</v>
      </c>
      <c r="E289" s="190">
        <f t="shared" si="352"/>
        <v>16</v>
      </c>
      <c r="F289" s="190" t="str">
        <f t="shared" si="387"/>
        <v>ALP.BSP.SOP.016.16</v>
      </c>
      <c r="G289" s="190" t="str">
        <f>IF(ISBLANK(N289),"",CONCATENATE(LEFT(F289,15),".",INDEX(Ref!A:A,MATCH(N289,Ref!$K$1:$K$333,0))))</f>
        <v/>
      </c>
      <c r="H289" s="181"/>
      <c r="I289" s="183"/>
      <c r="J289" s="181"/>
      <c r="K289" s="181"/>
      <c r="L289" s="182"/>
      <c r="M289" s="182"/>
      <c r="N289" s="183"/>
      <c r="O289" s="182"/>
      <c r="P289" s="182"/>
      <c r="Q289" s="184"/>
      <c r="R289" s="184"/>
      <c r="S289" s="185" t="str">
        <f>IFERROR(CLEAN(INDEX('Risk Matrix'!$H$7:$L$11,MATCH($Q289,'Risk Matrix'!$F$7:$F$11,0),MATCH($R289,'Risk Matrix'!$H$6:$L$6,0))),"")</f>
        <v/>
      </c>
      <c r="T289" s="85" t="str">
        <f>IF(LEFT($B289,7)=RIGHT('SOP template'!$B$1,7),_xlfn.NUMBERVALUE(RIGHT($S289,2)),"")</f>
        <v/>
      </c>
      <c r="U289" s="182"/>
      <c r="V289" s="182"/>
      <c r="W289" s="182"/>
      <c r="X289" s="182"/>
      <c r="Y289" s="182"/>
      <c r="Z289" s="183"/>
      <c r="AA289" s="186" t="str">
        <f>IFERROR(VLOOKUP(IFERROR(LEFT(S289,4),""),Ref!$AF$2:$AG$5,2,0),"")</f>
        <v/>
      </c>
      <c r="AB289" s="186"/>
      <c r="AC289" s="218"/>
      <c r="AD289" s="187" t="str">
        <f>IFERROR(VLOOKUP(AC289,'Training Matrix'!B$4:C$24,2,0),"")</f>
        <v/>
      </c>
      <c r="AE289" s="218"/>
      <c r="AF289" s="188" t="str">
        <f t="shared" si="360"/>
        <v/>
      </c>
      <c r="AG289" s="189" t="str">
        <f t="shared" ca="1" si="361"/>
        <v/>
      </c>
      <c r="AH289" s="50" t="str">
        <f t="shared" ref="AH289" si="393">IF(OR(AC289="",AE289=""),"",CONCATENATE(AC289,"_",K274,"_",L274))</f>
        <v/>
      </c>
    </row>
    <row r="290" spans="1:34" x14ac:dyDescent="0.25">
      <c r="A290" s="5" t="str">
        <f>IF(LEFT(F290,15)='SOP template'!$B$1,1,"")</f>
        <v/>
      </c>
      <c r="B290" s="190" t="str">
        <f t="shared" si="386"/>
        <v>SOP.016.17</v>
      </c>
      <c r="C290" s="190" t="str">
        <f t="shared" si="376"/>
        <v>SOP.016.</v>
      </c>
      <c r="D290" s="190" t="str">
        <f t="shared" si="377"/>
        <v>SOP.016.</v>
      </c>
      <c r="E290" s="190">
        <f t="shared" si="352"/>
        <v>17</v>
      </c>
      <c r="F290" s="190" t="str">
        <f t="shared" si="387"/>
        <v>ALP.BSP.SOP.016.17</v>
      </c>
      <c r="G290" s="190" t="str">
        <f>IF(ISBLANK(N290),"",CONCATENATE(LEFT(F290,15),".",INDEX(Ref!A:A,MATCH(N290,Ref!$K$1:$K$333,0))))</f>
        <v/>
      </c>
      <c r="H290" s="181"/>
      <c r="I290" s="183"/>
      <c r="J290" s="181"/>
      <c r="K290" s="181"/>
      <c r="L290" s="182"/>
      <c r="M290" s="182"/>
      <c r="N290" s="183"/>
      <c r="O290" s="182"/>
      <c r="P290" s="182"/>
      <c r="Q290" s="184"/>
      <c r="R290" s="184"/>
      <c r="S290" s="185" t="str">
        <f>IFERROR(CLEAN(INDEX('Risk Matrix'!$H$7:$L$11,MATCH($Q290,'Risk Matrix'!$F$7:$F$11,0),MATCH($R290,'Risk Matrix'!$H$6:$L$6,0))),"")</f>
        <v/>
      </c>
      <c r="T290" s="85" t="str">
        <f>IF(LEFT($B290,7)=RIGHT('SOP template'!$B$1,7),_xlfn.NUMBERVALUE(RIGHT($S290,2)),"")</f>
        <v/>
      </c>
      <c r="U290" s="182"/>
      <c r="V290" s="182"/>
      <c r="W290" s="182"/>
      <c r="X290" s="182"/>
      <c r="Y290" s="182"/>
      <c r="Z290" s="183"/>
      <c r="AA290" s="186" t="str">
        <f>IFERROR(VLOOKUP(IFERROR(LEFT(S290,4),""),Ref!$AF$2:$AG$5,2,0),"")</f>
        <v/>
      </c>
      <c r="AB290" s="186"/>
      <c r="AC290" s="218"/>
      <c r="AD290" s="187" t="str">
        <f>IFERROR(VLOOKUP(AC290,'Training Matrix'!B$4:C$24,2,0),"")</f>
        <v/>
      </c>
      <c r="AE290" s="218"/>
      <c r="AF290" s="188" t="str">
        <f t="shared" si="360"/>
        <v/>
      </c>
      <c r="AG290" s="189" t="str">
        <f t="shared" ca="1" si="361"/>
        <v/>
      </c>
      <c r="AH290" s="50" t="str">
        <f t="shared" ref="AH290" si="394">IF(OR(AC290="",AE290=""),"",CONCATENATE(AC290,"_",K274,"_",L274))</f>
        <v/>
      </c>
    </row>
    <row r="291" spans="1:34" x14ac:dyDescent="0.25">
      <c r="A291" s="5" t="str">
        <f>IF(LEFT(F291,15)='SOP template'!$B$1,1,"")</f>
        <v/>
      </c>
      <c r="B291" s="190" t="str">
        <f t="shared" si="386"/>
        <v>SOP.016.18</v>
      </c>
      <c r="C291" s="190" t="str">
        <f t="shared" si="376"/>
        <v>SOP.016.</v>
      </c>
      <c r="D291" s="190" t="str">
        <f t="shared" si="377"/>
        <v>SOP.016.</v>
      </c>
      <c r="E291" s="190">
        <f t="shared" si="352"/>
        <v>18</v>
      </c>
      <c r="F291" s="190" t="str">
        <f t="shared" si="387"/>
        <v>ALP.BSP.SOP.016.18</v>
      </c>
      <c r="G291" s="190" t="str">
        <f>IF(ISBLANK(N291),"",CONCATENATE(LEFT(F291,15),".",INDEX(Ref!A:A,MATCH(N291,Ref!$K$1:$K$333,0))))</f>
        <v/>
      </c>
      <c r="H291" s="181"/>
      <c r="I291" s="183"/>
      <c r="J291" s="181"/>
      <c r="K291" s="181"/>
      <c r="L291" s="182"/>
      <c r="M291" s="182"/>
      <c r="N291" s="183"/>
      <c r="O291" s="182"/>
      <c r="P291" s="182"/>
      <c r="Q291" s="184"/>
      <c r="R291" s="184"/>
      <c r="S291" s="185" t="str">
        <f>IFERROR(CLEAN(INDEX('Risk Matrix'!$H$7:$L$11,MATCH($Q291,'Risk Matrix'!$F$7:$F$11,0),MATCH($R291,'Risk Matrix'!$H$6:$L$6,0))),"")</f>
        <v/>
      </c>
      <c r="T291" s="85" t="str">
        <f>IF(LEFT($B291,7)=RIGHT('SOP template'!$B$1,7),_xlfn.NUMBERVALUE(RIGHT($S291,2)),"")</f>
        <v/>
      </c>
      <c r="U291" s="182"/>
      <c r="V291" s="182"/>
      <c r="W291" s="182"/>
      <c r="X291" s="182"/>
      <c r="Y291" s="182"/>
      <c r="Z291" s="183"/>
      <c r="AA291" s="186" t="str">
        <f>IFERROR(VLOOKUP(IFERROR(LEFT(S291,4),""),Ref!$AF$2:$AG$5,2,0),"")</f>
        <v/>
      </c>
      <c r="AB291" s="186"/>
      <c r="AC291" s="218"/>
      <c r="AD291" s="187" t="str">
        <f>IFERROR(VLOOKUP(AC291,'Training Matrix'!B$4:C$24,2,0),"")</f>
        <v/>
      </c>
      <c r="AE291" s="218"/>
      <c r="AF291" s="188" t="str">
        <f t="shared" si="360"/>
        <v/>
      </c>
      <c r="AG291" s="189" t="str">
        <f t="shared" ca="1" si="361"/>
        <v/>
      </c>
      <c r="AH291" s="50" t="str">
        <f t="shared" ref="AH291" si="395">IF(OR(AC291="",AE291=""),"",CONCATENATE(AC291,"_",K274,"_",L274))</f>
        <v/>
      </c>
    </row>
    <row r="292" spans="1:34" ht="45" x14ac:dyDescent="0.25">
      <c r="A292" s="5" t="str">
        <f>IF(LEFT(F292,15)='SOP template'!$B$1,1,"")</f>
        <v/>
      </c>
      <c r="B292" s="179" t="str">
        <f t="shared" ref="B292" si="396">IF(ISBLANK($K292),CONCATENATE($B$2,".",TEXT(J292,"000"),".",$E292),CONCATENATE(RIGHT($K292,7),".1"))</f>
        <v>SOP.017.1</v>
      </c>
      <c r="C292" s="179" t="str">
        <f>IF(ISBLANK($K292),CONCATENATE(LEFT(#REF!,8),IF($E292=1,1.1,IF($E292=2,1.4,IF($E292=3,2,IF($E292=4,2.4,IF($E292=5,3,IF($E292=6,3.4,IF($E292=7,4,IF($E292=8,4.4,IF($E292=9,5,IF($E292=10,5.4,IF($E292=11,6,IF($E292=12,6.4,""))))))))))))),CONCATENATE(RIGHT($K292,7),".1"))</f>
        <v>SOP.017.1</v>
      </c>
      <c r="D292" s="179" t="str">
        <f>IF(ISBLANK($K292),CONCATENATE(LEFT(#REF!,8),IF($E292=1,1,IF($E292=2,1.3,IF($E292=3,1.5,IF($E292=4,2,IF($E292=5,2.3,IF($E292=6,2.5,IF($E292=7,3,IF($E292=8,3.3,IF($E292=9,3.5,IF($E292=10,4,IF($E292=11,4.3,IF($E292=12,4.5,""))))))))))))),CONCATENATE(RIGHT($K292,7),".1"))</f>
        <v>SOP.017.1</v>
      </c>
      <c r="E292" s="179">
        <f t="shared" si="352"/>
        <v>1</v>
      </c>
      <c r="F292" s="179" t="str">
        <f t="shared" ref="F292" si="397">K292&amp;"."&amp;TEXT(E292,"00")</f>
        <v>ALP.BSP.SOP.017.01</v>
      </c>
      <c r="G292" s="179" t="str">
        <f>IF(ISBLANK(N292),"",CONCATENATE(LEFT(F292,15),".",INDEX(Ref!A:A,MATCH(N292,Ref!$K$1:$K$333,0))))</f>
        <v>ALP.BSP.SOP.017.1</v>
      </c>
      <c r="H292" s="217" t="s">
        <v>394</v>
      </c>
      <c r="I292" s="217" t="s">
        <v>275</v>
      </c>
      <c r="J292" s="180">
        <v>17</v>
      </c>
      <c r="K292" s="181" t="str">
        <f>IFERROR(CONCATENATE(INDEX(Ref!$Z$2:$Z$8,MATCH(H292,Ref!$AA$2:$AA$8,0)),".",I292,".SOP.",TEXT(J292,"000")),CONCATENATE(H292,".",I292,".SOP.",TEXT(J292,"000")))</f>
        <v>ALP.BSP.SOP.017</v>
      </c>
      <c r="L292" s="191" t="s">
        <v>993</v>
      </c>
      <c r="M292" s="191" t="s">
        <v>994</v>
      </c>
      <c r="N292" s="183" t="s">
        <v>117</v>
      </c>
      <c r="O292" s="182" t="s">
        <v>411</v>
      </c>
      <c r="P292" s="182" t="s">
        <v>636</v>
      </c>
      <c r="Q292" s="184" t="s">
        <v>92</v>
      </c>
      <c r="R292" s="184" t="s">
        <v>188</v>
      </c>
      <c r="S292" s="185" t="str">
        <f>IFERROR(CLEAN(INDEX('Risk Matrix'!$H$7:$L$11,MATCH($Q292,'Risk Matrix'!$F$7:$F$11,0),MATCH($R292,'Risk Matrix'!$H$6:$L$6,0))),"")</f>
        <v>Low 1</v>
      </c>
      <c r="T292" s="85" t="str">
        <f>IF(LEFT($B292,7)=RIGHT('SOP template'!$B$1,7),_xlfn.NUMBERVALUE(RIGHT($S292,2)),"")</f>
        <v/>
      </c>
      <c r="U292" s="182" t="s">
        <v>846</v>
      </c>
      <c r="V292" s="182" t="s">
        <v>821</v>
      </c>
      <c r="W292" s="182" t="s">
        <v>822</v>
      </c>
      <c r="X292" s="182" t="s">
        <v>847</v>
      </c>
      <c r="Y292" s="182" t="s">
        <v>848</v>
      </c>
      <c r="Z292" s="182" t="s">
        <v>825</v>
      </c>
      <c r="AA292" s="186">
        <f>IFERROR(VLOOKUP(IFERROR(LEFT(S292,4),""),Ref!$AF$2:$AG$5,2,0),"")</f>
        <v>36</v>
      </c>
      <c r="AB292" s="186">
        <f>MIN($AA292:$AA309)</f>
        <v>12</v>
      </c>
      <c r="AC292" s="218" t="s">
        <v>289</v>
      </c>
      <c r="AD292" s="187" t="str">
        <f>IFERROR(VLOOKUP(AC292,'Training Matrix'!B$4:C$24,2,0),"")</f>
        <v>Dock Manager</v>
      </c>
      <c r="AE292" s="221">
        <v>45792</v>
      </c>
      <c r="AF292" s="188">
        <f t="shared" si="360"/>
        <v>46522</v>
      </c>
      <c r="AG292" s="189" t="str">
        <f t="shared" ca="1" si="361"/>
        <v>Current</v>
      </c>
      <c r="AH292" s="50" t="str">
        <f t="shared" ref="AH292" si="398">IF(OR(AC292="",AE292=""),"",CONCATENATE(AC292,"_",K292,"_",L292))</f>
        <v>Person 1_ALP.BSP.SOP.017_Formalin fixing</v>
      </c>
    </row>
    <row r="293" spans="1:34" ht="45" x14ac:dyDescent="0.25">
      <c r="A293" s="5" t="str">
        <f>IF(LEFT(F293,15)='SOP template'!$B$1,1,"")</f>
        <v/>
      </c>
      <c r="B293" s="190" t="str">
        <f t="shared" ref="B293:B301" si="399">CONCATENATE(LEFT(B292,8),E293)</f>
        <v>SOP.017.2</v>
      </c>
      <c r="C293" s="190" t="str">
        <f>IF(ISBLANK($K293),CONCATENATE(LEFT($B292,8),IF($E293=1,1.1,IF($E293=2,1.4,IF($E293=3,2,IF($E293=4,2.4,IF($E293=5,3,IF($E293=6,3.4,IF($E293=7,4,IF($E293=8,4.4,IF($E293=9,5,IF($E293=10,5.4,IF($E293=11,6,IF($E293=12,6.4,""))))))))))))),CONCATENATE(RIGHT($K293,7),".1"))</f>
        <v>SOP.017.1.4</v>
      </c>
      <c r="D293" s="190" t="str">
        <f>IF(ISBLANK($K293),CONCATENATE(LEFT($B292,8),IF($E293=1,1,IF($E293=2,1.3,IF($E293=3,1.5,IF($E293=4,2,IF($E293=5,2.3,IF($E293=6,2.5,IF($E293=7,3,IF($E293=8,3.3,IF($E293=9,3.5,IF($E293=10,4,IF($E293=11,4.3,IF($E293=12,4.5,""))))))))))))),CONCATENATE(RIGHT($K293,7),".1"))</f>
        <v>SOP.017.1.3</v>
      </c>
      <c r="E293" s="190">
        <f t="shared" si="352"/>
        <v>2</v>
      </c>
      <c r="F293" s="190" t="str">
        <f t="shared" ref="F293:F301" si="400">IF(K293=0,LEFT(F292,16)&amp;TEXT(E293,"00"),K293&amp;"."&amp;TEXT(E293,"00"))</f>
        <v>ALP.BSP.SOP.017.02</v>
      </c>
      <c r="G293" s="190" t="str">
        <f>IF(ISBLANK(N293),"",CONCATENATE(LEFT(F293,15),".",INDEX(Ref!A:A,MATCH(N293,Ref!$K$1:$K$333,0))))</f>
        <v>ALP.BSP.SOP.017.5</v>
      </c>
      <c r="H293" s="181"/>
      <c r="I293" s="183"/>
      <c r="J293" s="181"/>
      <c r="K293" s="181"/>
      <c r="L293" s="182"/>
      <c r="M293" s="182"/>
      <c r="N293" s="183" t="s">
        <v>120</v>
      </c>
      <c r="O293" s="182" t="s">
        <v>988</v>
      </c>
      <c r="P293" s="182" t="s">
        <v>989</v>
      </c>
      <c r="Q293" s="184" t="s">
        <v>92</v>
      </c>
      <c r="R293" s="184" t="s">
        <v>90</v>
      </c>
      <c r="S293" s="185" t="str">
        <f>IFERROR(CLEAN(INDEX('Risk Matrix'!$H$7:$L$11,MATCH($Q293,'Risk Matrix'!$F$7:$F$11,0),MATCH($R293,'Risk Matrix'!$H$6:$L$6,0))),"")</f>
        <v>Medium 2</v>
      </c>
      <c r="T293" s="85" t="str">
        <f>IF(LEFT($B293,7)=RIGHT('SOP template'!$B$1,7),_xlfn.NUMBERVALUE(RIGHT($S293,2)),"")</f>
        <v/>
      </c>
      <c r="U293" s="182" t="s">
        <v>826</v>
      </c>
      <c r="V293" s="182" t="s">
        <v>827</v>
      </c>
      <c r="W293" s="182" t="s">
        <v>849</v>
      </c>
      <c r="X293" s="182" t="s">
        <v>850</v>
      </c>
      <c r="Y293" s="191" t="s">
        <v>851</v>
      </c>
      <c r="Z293" s="182" t="s">
        <v>831</v>
      </c>
      <c r="AA293" s="186">
        <f>IFERROR(VLOOKUP(IFERROR(LEFT(S293,4),""),Ref!$AF$2:$AG$5,2,0),"")</f>
        <v>24</v>
      </c>
      <c r="AB293" s="146"/>
      <c r="AC293" s="218" t="s">
        <v>290</v>
      </c>
      <c r="AD293" s="187" t="str">
        <f>IFERROR(VLOOKUP(AC293,'Training Matrix'!B$4:C$24,2,0),"")</f>
        <v>WHS Team member</v>
      </c>
      <c r="AE293" s="221">
        <v>45792</v>
      </c>
      <c r="AF293" s="188">
        <f t="shared" si="360"/>
        <v>46522</v>
      </c>
      <c r="AG293" s="189" t="str">
        <f t="shared" ca="1" si="361"/>
        <v>Current</v>
      </c>
      <c r="AH293" s="50" t="str">
        <f t="shared" ref="AH293" si="401">IF(OR(AC293="",AE293=""),"",CONCATENATE(AC293,"_",K292,"_",L292))</f>
        <v>Person 2_ALP.BSP.SOP.017_Formalin fixing</v>
      </c>
    </row>
    <row r="294" spans="1:34" ht="45" x14ac:dyDescent="0.25">
      <c r="A294" s="5" t="str">
        <f>IF(LEFT(F294,15)='SOP template'!$B$1,1,"")</f>
        <v/>
      </c>
      <c r="B294" s="190" t="str">
        <f t="shared" si="399"/>
        <v>SOP.017.3</v>
      </c>
      <c r="C294" s="190" t="str">
        <f t="shared" ref="C294:C309" si="402">IF(ISBLANK($K294),CONCATENATE(LEFT($B293,8),IF($E294=1,1.1,IF($E294=2,1.4,IF($E294=3,2,IF($E294=4,2.4,IF($E294=5,3,IF($E294=6,3.4,IF($E294=7,4,IF($E294=8,4.4,IF($E294=9,5,IF($E294=10,5.4,IF($E294=11,6,IF($E294=12,6.4,""))))))))))))),CONCATENATE(RIGHT($K294,7),".1"))</f>
        <v>SOP.017.2</v>
      </c>
      <c r="D294" s="190" t="str">
        <f t="shared" ref="D294:D309" si="403">IF(ISBLANK($K294),CONCATENATE(LEFT($B293,8),IF($E294=1,1,IF($E294=2,1.3,IF($E294=3,1.5,IF($E294=4,2,IF($E294=5,2.3,IF($E294=6,2.5,IF($E294=7,3,IF($E294=8,3.3,IF($E294=9,3.5,IF($E294=10,4,IF($E294=11,4.3,IF($E294=12,4.5,""))))))))))))),CONCATENATE(RIGHT($K294,7),".1"))</f>
        <v>SOP.017.1.5</v>
      </c>
      <c r="E294" s="190">
        <f t="shared" si="352"/>
        <v>3</v>
      </c>
      <c r="F294" s="190" t="str">
        <f t="shared" si="400"/>
        <v>ALP.BSP.SOP.017.03</v>
      </c>
      <c r="G294" s="190" t="str">
        <f>IF(ISBLANK(N294),"",CONCATENATE(LEFT(F294,15),".",INDEX(Ref!A:A,MATCH(N294,Ref!$K$1:$K$333,0))))</f>
        <v>ALP.BSP.SOP.017.7</v>
      </c>
      <c r="H294" s="181"/>
      <c r="I294" s="183"/>
      <c r="J294" s="181"/>
      <c r="K294" s="181"/>
      <c r="L294" s="182"/>
      <c r="M294" s="182"/>
      <c r="N294" s="183" t="s">
        <v>88</v>
      </c>
      <c r="O294" s="182" t="s">
        <v>548</v>
      </c>
      <c r="P294" s="182" t="s">
        <v>549</v>
      </c>
      <c r="Q294" s="184" t="s">
        <v>93</v>
      </c>
      <c r="R294" s="184" t="s">
        <v>91</v>
      </c>
      <c r="S294" s="185" t="str">
        <f>IFERROR(CLEAN(INDEX('Risk Matrix'!$H$7:$L$11,MATCH($Q294,'Risk Matrix'!$F$7:$F$11,0),MATCH($R294,'Risk Matrix'!$H$6:$L$6,0))),"")</f>
        <v>Low 1</v>
      </c>
      <c r="T294" s="85" t="str">
        <f>IF(LEFT($B294,7)=RIGHT('SOP template'!$B$1,7),_xlfn.NUMBERVALUE(RIGHT($S294,2)),"")</f>
        <v/>
      </c>
      <c r="U294" s="182" t="s">
        <v>663</v>
      </c>
      <c r="V294" s="182" t="s">
        <v>832</v>
      </c>
      <c r="W294" s="182" t="s">
        <v>852</v>
      </c>
      <c r="X294" s="182" t="s">
        <v>853</v>
      </c>
      <c r="Y294" s="182" t="s">
        <v>854</v>
      </c>
      <c r="Z294" s="182" t="s">
        <v>836</v>
      </c>
      <c r="AA294" s="186">
        <f>IFERROR(VLOOKUP(IFERROR(LEFT(S294,4),""),Ref!$AF$2:$AG$5,2,0),"")</f>
        <v>36</v>
      </c>
      <c r="AB294" s="146"/>
      <c r="AC294" s="218" t="s">
        <v>167</v>
      </c>
      <c r="AD294" s="187" t="str">
        <f>IFERROR(VLOOKUP(AC294,'Training Matrix'!B$4:C$24,2,0),"")</f>
        <v>Bioscience Manager</v>
      </c>
      <c r="AE294" s="221">
        <v>45792</v>
      </c>
      <c r="AF294" s="188">
        <f t="shared" si="360"/>
        <v>46522</v>
      </c>
      <c r="AG294" s="189" t="str">
        <f t="shared" ca="1" si="361"/>
        <v>Current</v>
      </c>
      <c r="AH294" s="50" t="str">
        <f t="shared" ref="AH294" si="404">IF(OR(AC294="",AE294=""),"",CONCATENATE(AC294,"_",K292,"_",L292))</f>
        <v>Person 3_ALP.BSP.SOP.017_Formalin fixing</v>
      </c>
    </row>
    <row r="295" spans="1:34" ht="45" x14ac:dyDescent="0.25">
      <c r="A295" s="5" t="str">
        <f>IF(LEFT(F295,15)='SOP template'!$B$1,1,"")</f>
        <v/>
      </c>
      <c r="B295" s="190" t="str">
        <f t="shared" si="399"/>
        <v>SOP.017.4</v>
      </c>
      <c r="C295" s="190" t="str">
        <f t="shared" si="402"/>
        <v>SOP.017.2.4</v>
      </c>
      <c r="D295" s="190" t="str">
        <f t="shared" si="403"/>
        <v>SOP.017.2</v>
      </c>
      <c r="E295" s="190">
        <f t="shared" si="352"/>
        <v>4</v>
      </c>
      <c r="F295" s="190" t="str">
        <f t="shared" si="400"/>
        <v>ALP.BSP.SOP.017.04</v>
      </c>
      <c r="G295" s="190" t="str">
        <f>IF(ISBLANK(N295),"",CONCATENATE(LEFT(F295,15),".",INDEX(Ref!A:A,MATCH(N295,Ref!$K$1:$K$333,0))))</f>
        <v>ALP.BSP.SOP.017.12</v>
      </c>
      <c r="H295" s="181"/>
      <c r="I295" s="183"/>
      <c r="J295" s="181"/>
      <c r="K295" s="181"/>
      <c r="L295" s="182"/>
      <c r="M295" s="182"/>
      <c r="N295" s="183" t="s">
        <v>125</v>
      </c>
      <c r="O295" s="182" t="s">
        <v>990</v>
      </c>
      <c r="P295" s="182" t="s">
        <v>995</v>
      </c>
      <c r="Q295" s="184" t="s">
        <v>92</v>
      </c>
      <c r="R295" s="184" t="s">
        <v>90</v>
      </c>
      <c r="S295" s="185" t="str">
        <f>IFERROR(CLEAN(INDEX('Risk Matrix'!$H$7:$L$11,MATCH($Q295,'Risk Matrix'!$F$7:$F$11,0),MATCH($R295,'Risk Matrix'!$H$6:$L$6,0))),"")</f>
        <v>Medium 2</v>
      </c>
      <c r="T295" s="85" t="str">
        <f>IF(LEFT($B295,7)=RIGHT('SOP template'!$B$1,7),_xlfn.NUMBERVALUE(RIGHT($S295,2)),"")</f>
        <v/>
      </c>
      <c r="U295" s="182" t="s">
        <v>855</v>
      </c>
      <c r="V295" s="182" t="s">
        <v>837</v>
      </c>
      <c r="W295" s="182" t="s">
        <v>856</v>
      </c>
      <c r="X295" s="182" t="s">
        <v>857</v>
      </c>
      <c r="Y295" s="182" t="s">
        <v>858</v>
      </c>
      <c r="Z295" s="182" t="s">
        <v>841</v>
      </c>
      <c r="AA295" s="186">
        <f>IFERROR(VLOOKUP(IFERROR(LEFT(S295,4),""),Ref!$AF$2:$AG$5,2,0),"")</f>
        <v>24</v>
      </c>
      <c r="AB295" s="146"/>
      <c r="AC295" s="218" t="s">
        <v>168</v>
      </c>
      <c r="AD295" s="187" t="str">
        <f>IFERROR(VLOOKUP(AC295,'Training Matrix'!B$4:C$24,2,0),"")</f>
        <v>Collection Manager</v>
      </c>
      <c r="AE295" s="221">
        <v>45792</v>
      </c>
      <c r="AF295" s="188">
        <f t="shared" si="360"/>
        <v>46522</v>
      </c>
      <c r="AG295" s="189" t="str">
        <f t="shared" ca="1" si="361"/>
        <v>Current</v>
      </c>
      <c r="AH295" s="50" t="str">
        <f t="shared" ref="AH295" si="405">IF(OR(AC295="",AE295=""),"",CONCATENATE(AC295,"_",K292,"_",L292))</f>
        <v>Person 4_ALP.BSP.SOP.017_Formalin fixing</v>
      </c>
    </row>
    <row r="296" spans="1:34" ht="45" x14ac:dyDescent="0.25">
      <c r="A296" s="5" t="str">
        <f>IF(LEFT(F296,15)='SOP template'!$B$1,1,"")</f>
        <v/>
      </c>
      <c r="B296" s="190" t="str">
        <f t="shared" si="399"/>
        <v>SOP.017.5</v>
      </c>
      <c r="C296" s="190" t="str">
        <f t="shared" si="402"/>
        <v>SOP.017.3</v>
      </c>
      <c r="D296" s="190" t="str">
        <f t="shared" si="403"/>
        <v>SOP.017.2.3</v>
      </c>
      <c r="E296" s="190">
        <f t="shared" si="352"/>
        <v>5</v>
      </c>
      <c r="F296" s="190" t="str">
        <f t="shared" si="400"/>
        <v>ALP.BSP.SOP.017.05</v>
      </c>
      <c r="G296" s="190" t="str">
        <f>IF(ISBLANK(N296),"",CONCATENATE(LEFT(F296,15),".",INDEX(Ref!A:A,MATCH(N296,Ref!$K$1:$K$333,0))))</f>
        <v>ALP.BSP.SOP.017.13</v>
      </c>
      <c r="H296" s="181"/>
      <c r="I296" s="183"/>
      <c r="J296" s="181"/>
      <c r="K296" s="181"/>
      <c r="L296" s="182"/>
      <c r="M296" s="182"/>
      <c r="N296" s="183" t="s">
        <v>126</v>
      </c>
      <c r="O296" s="182" t="s">
        <v>986</v>
      </c>
      <c r="P296" s="182" t="s">
        <v>996</v>
      </c>
      <c r="Q296" s="184" t="s">
        <v>195</v>
      </c>
      <c r="R296" s="184" t="s">
        <v>90</v>
      </c>
      <c r="S296" s="185" t="str">
        <f>IFERROR(CLEAN(INDEX('Risk Matrix'!$H$7:$L$11,MATCH($Q296,'Risk Matrix'!$F$7:$F$11,0),MATCH($R296,'Risk Matrix'!$H$6:$L$6,0))),"")</f>
        <v>High 3</v>
      </c>
      <c r="T296" s="85" t="str">
        <f>IF(LEFT($B296,7)=RIGHT('SOP template'!$B$1,7),_xlfn.NUMBERVALUE(RIGHT($S296,2)),"")</f>
        <v/>
      </c>
      <c r="U296" s="182" t="s">
        <v>820</v>
      </c>
      <c r="V296" s="182"/>
      <c r="W296" s="182"/>
      <c r="X296" s="182" t="s">
        <v>859</v>
      </c>
      <c r="Y296" s="182" t="s">
        <v>835</v>
      </c>
      <c r="Z296" s="182"/>
      <c r="AA296" s="186">
        <f>IFERROR(VLOOKUP(IFERROR(LEFT(S296,4),""),Ref!$AF$2:$AG$5,2,0),"")</f>
        <v>12</v>
      </c>
      <c r="AB296" s="146"/>
      <c r="AC296" s="218" t="s">
        <v>169</v>
      </c>
      <c r="AD296" s="187" t="str">
        <f>IFERROR(VLOOKUP(AC296,'Training Matrix'!B$4:C$24,2,0),"")</f>
        <v>Technician</v>
      </c>
      <c r="AE296" s="221">
        <v>45792</v>
      </c>
      <c r="AF296" s="188">
        <f t="shared" si="360"/>
        <v>46522</v>
      </c>
      <c r="AG296" s="189" t="str">
        <f t="shared" ca="1" si="361"/>
        <v>Current</v>
      </c>
      <c r="AH296" s="50" t="str">
        <f t="shared" ref="AH296" si="406">IF(OR(AC296="",AE296=""),"",CONCATENATE(AC296,"_",K292,"_",L292))</f>
        <v>Person 5_ALP.BSP.SOP.017_Formalin fixing</v>
      </c>
    </row>
    <row r="297" spans="1:34" ht="45" x14ac:dyDescent="0.25">
      <c r="A297" s="5" t="str">
        <f>IF(LEFT(F297,15)='SOP template'!$B$1,1,"")</f>
        <v/>
      </c>
      <c r="B297" s="190" t="str">
        <f t="shared" si="399"/>
        <v>SOP.017.6</v>
      </c>
      <c r="C297" s="190" t="str">
        <f t="shared" si="402"/>
        <v>SOP.017.3.4</v>
      </c>
      <c r="D297" s="190" t="str">
        <f t="shared" si="403"/>
        <v>SOP.017.2.5</v>
      </c>
      <c r="E297" s="190">
        <f t="shared" si="352"/>
        <v>6</v>
      </c>
      <c r="F297" s="190" t="str">
        <f t="shared" si="400"/>
        <v>ALP.BSP.SOP.017.06</v>
      </c>
      <c r="G297" s="190" t="str">
        <f>IF(ISBLANK(N297),"",CONCATENATE(LEFT(F297,15),".",INDEX(Ref!A:A,MATCH(N297,Ref!$K$1:$K$333,0))))</f>
        <v>ALP.BSP.SOP.017.20</v>
      </c>
      <c r="H297" s="181"/>
      <c r="I297" s="183"/>
      <c r="J297" s="181"/>
      <c r="K297" s="181"/>
      <c r="L297" s="182"/>
      <c r="M297" s="182"/>
      <c r="N297" s="183" t="s">
        <v>133</v>
      </c>
      <c r="O297" s="182" t="s">
        <v>997</v>
      </c>
      <c r="P297" s="182" t="s">
        <v>998</v>
      </c>
      <c r="Q297" s="184" t="s">
        <v>92</v>
      </c>
      <c r="R297" s="184" t="s">
        <v>90</v>
      </c>
      <c r="S297" s="185" t="str">
        <f>IFERROR(CLEAN(INDEX('Risk Matrix'!$H$7:$L$11,MATCH($Q297,'Risk Matrix'!$F$7:$F$11,0),MATCH($R297,'Risk Matrix'!$H$6:$L$6,0))),"")</f>
        <v>Medium 2</v>
      </c>
      <c r="T297" s="85" t="str">
        <f>IF(LEFT($B297,7)=RIGHT('SOP template'!$B$1,7),_xlfn.NUMBERVALUE(RIGHT($S297,2)),"")</f>
        <v/>
      </c>
      <c r="U297" s="182" t="s">
        <v>860</v>
      </c>
      <c r="V297" s="182"/>
      <c r="W297" s="182"/>
      <c r="X297" s="182" t="s">
        <v>861</v>
      </c>
      <c r="Y297" s="182" t="s">
        <v>840</v>
      </c>
      <c r="Z297" s="183"/>
      <c r="AA297" s="186">
        <f>IFERROR(VLOOKUP(IFERROR(LEFT(S297,4),""),Ref!$AF$2:$AG$5,2,0),"")</f>
        <v>24</v>
      </c>
      <c r="AB297" s="146"/>
      <c r="AC297" s="218" t="s">
        <v>170</v>
      </c>
      <c r="AD297" s="187" t="str">
        <f>IFERROR(VLOOKUP(AC297,'Training Matrix'!B$4:C$24,2,0),"")</f>
        <v>Scientist</v>
      </c>
      <c r="AE297" s="221">
        <v>45792</v>
      </c>
      <c r="AF297" s="188">
        <f t="shared" si="360"/>
        <v>46522</v>
      </c>
      <c r="AG297" s="189" t="str">
        <f t="shared" ca="1" si="361"/>
        <v>Current</v>
      </c>
      <c r="AH297" s="50" t="str">
        <f t="shared" ref="AH297" si="407">IF(OR(AC297="",AE297=""),"",CONCATENATE(AC297,"_",K292,"_",L292))</f>
        <v>Person 6_ALP.BSP.SOP.017_Formalin fixing</v>
      </c>
    </row>
    <row r="298" spans="1:34" ht="45" x14ac:dyDescent="0.25">
      <c r="A298" s="5" t="str">
        <f>IF(LEFT(F298,15)='SOP template'!$B$1,1,"")</f>
        <v/>
      </c>
      <c r="B298" s="190" t="str">
        <f t="shared" si="399"/>
        <v>SOP.017.7</v>
      </c>
      <c r="C298" s="190" t="str">
        <f t="shared" si="402"/>
        <v>SOP.017.4</v>
      </c>
      <c r="D298" s="190" t="str">
        <f t="shared" si="403"/>
        <v>SOP.017.3</v>
      </c>
      <c r="E298" s="190">
        <f t="shared" si="352"/>
        <v>7</v>
      </c>
      <c r="F298" s="190" t="str">
        <f t="shared" si="400"/>
        <v>ALP.BSP.SOP.017.07</v>
      </c>
      <c r="G298" s="190" t="str">
        <f>IF(ISBLANK(N298),"",CONCATENATE(LEFT(F298,15),".",INDEX(Ref!A:A,MATCH(N298,Ref!$K$1:$K$333,0))))</f>
        <v>ALP.BSP.SOP.017.25</v>
      </c>
      <c r="H298" s="181"/>
      <c r="I298" s="183"/>
      <c r="J298" s="181"/>
      <c r="K298" s="181"/>
      <c r="L298" s="182"/>
      <c r="M298" s="182"/>
      <c r="N298" s="183" t="s">
        <v>138</v>
      </c>
      <c r="O298" s="182" t="s">
        <v>498</v>
      </c>
      <c r="P298" s="182" t="s">
        <v>999</v>
      </c>
      <c r="Q298" s="184" t="s">
        <v>92</v>
      </c>
      <c r="R298" s="184" t="s">
        <v>90</v>
      </c>
      <c r="S298" s="185" t="str">
        <f>IFERROR(CLEAN(INDEX('Risk Matrix'!$H$7:$L$11,MATCH($Q298,'Risk Matrix'!$F$7:$F$11,0),MATCH($R298,'Risk Matrix'!$H$6:$L$6,0))),"")</f>
        <v>Medium 2</v>
      </c>
      <c r="T298" s="85" t="str">
        <f>IF(LEFT($B298,7)=RIGHT('SOP template'!$B$1,7),_xlfn.NUMBERVALUE(RIGHT($S298,2)),"")</f>
        <v/>
      </c>
      <c r="U298" s="182" t="s">
        <v>770</v>
      </c>
      <c r="V298" s="182"/>
      <c r="W298" s="182"/>
      <c r="X298" s="182" t="s">
        <v>862</v>
      </c>
      <c r="Y298" s="182" t="s">
        <v>863</v>
      </c>
      <c r="Z298" s="183"/>
      <c r="AA298" s="186">
        <f>IFERROR(VLOOKUP(IFERROR(LEFT(S298,4),""),Ref!$AF$2:$AG$5,2,0),"")</f>
        <v>24</v>
      </c>
      <c r="AB298" s="146"/>
      <c r="AC298" s="218"/>
      <c r="AD298" s="187" t="str">
        <f>IFERROR(VLOOKUP(AC298,'Training Matrix'!B$4:C$24,2,0),"")</f>
        <v/>
      </c>
      <c r="AE298" s="221"/>
      <c r="AF298" s="188" t="str">
        <f t="shared" si="360"/>
        <v/>
      </c>
      <c r="AG298" s="189" t="str">
        <f t="shared" ca="1" si="361"/>
        <v/>
      </c>
      <c r="AH298" s="50" t="str">
        <f t="shared" ref="AH298" si="408">IF(OR(AC298="",AE298=""),"",CONCATENATE(AC298,"_",K292,"_",L292))</f>
        <v/>
      </c>
    </row>
    <row r="299" spans="1:34" ht="30" x14ac:dyDescent="0.25">
      <c r="A299" s="5" t="str">
        <f>IF(LEFT(F299,15)='SOP template'!$B$1,1,"")</f>
        <v/>
      </c>
      <c r="B299" s="190" t="str">
        <f t="shared" si="399"/>
        <v>SOP.017.8</v>
      </c>
      <c r="C299" s="190" t="str">
        <f t="shared" si="402"/>
        <v>SOP.017.4.4</v>
      </c>
      <c r="D299" s="190" t="str">
        <f t="shared" si="403"/>
        <v>SOP.017.3.3</v>
      </c>
      <c r="E299" s="190">
        <f t="shared" si="352"/>
        <v>8</v>
      </c>
      <c r="F299" s="190" t="str">
        <f t="shared" si="400"/>
        <v>ALP.BSP.SOP.017.08</v>
      </c>
      <c r="G299" s="190" t="str">
        <f>IF(ISBLANK(N299),"",CONCATENATE(LEFT(F299,15),".",INDEX(Ref!A:A,MATCH(N299,Ref!$K$1:$K$333,0))))</f>
        <v>ALP.BSP.SOP.017.26</v>
      </c>
      <c r="H299" s="181"/>
      <c r="I299" s="183"/>
      <c r="J299" s="181"/>
      <c r="K299" s="181"/>
      <c r="L299" s="182"/>
      <c r="M299" s="182"/>
      <c r="N299" s="183" t="s">
        <v>139</v>
      </c>
      <c r="O299" s="182" t="s">
        <v>1000</v>
      </c>
      <c r="P299" s="182" t="s">
        <v>1001</v>
      </c>
      <c r="Q299" s="184" t="s">
        <v>89</v>
      </c>
      <c r="R299" s="184" t="s">
        <v>90</v>
      </c>
      <c r="S299" s="185" t="str">
        <f>IFERROR(CLEAN(INDEX('Risk Matrix'!$H$7:$L$11,MATCH($Q299,'Risk Matrix'!$F$7:$F$11,0),MATCH($R299,'Risk Matrix'!$H$6:$L$6,0))),"")</f>
        <v>Medium 2</v>
      </c>
      <c r="T299" s="85" t="str">
        <f>IF(LEFT($B299,7)=RIGHT('SOP template'!$B$1,7),_xlfn.NUMBERVALUE(RIGHT($S299,2)),"")</f>
        <v/>
      </c>
      <c r="U299" s="182" t="s">
        <v>671</v>
      </c>
      <c r="V299" s="182"/>
      <c r="W299" s="182"/>
      <c r="X299" s="182" t="s">
        <v>864</v>
      </c>
      <c r="Y299" s="182"/>
      <c r="Z299" s="183"/>
      <c r="AA299" s="186">
        <f>IFERROR(VLOOKUP(IFERROR(LEFT(S299,4),""),Ref!$AF$2:$AG$5,2,0),"")</f>
        <v>24</v>
      </c>
      <c r="AB299" s="146"/>
      <c r="AC299" s="218"/>
      <c r="AD299" s="187" t="str">
        <f>IFERROR(VLOOKUP(AC299,'Training Matrix'!B$4:C$24,2,0),"")</f>
        <v/>
      </c>
      <c r="AE299" s="218"/>
      <c r="AF299" s="188" t="str">
        <f t="shared" si="360"/>
        <v/>
      </c>
      <c r="AG299" s="189" t="str">
        <f t="shared" ca="1" si="361"/>
        <v/>
      </c>
      <c r="AH299" s="50" t="str">
        <f t="shared" ref="AH299" si="409">IF(OR(AC299="",AE299=""),"",CONCATENATE(AC299,"_",K292,"_",L292))</f>
        <v/>
      </c>
    </row>
    <row r="300" spans="1:34" x14ac:dyDescent="0.25">
      <c r="A300" s="5" t="str">
        <f>IF(LEFT(F300,15)='SOP template'!$B$1,1,"")</f>
        <v/>
      </c>
      <c r="B300" s="190" t="str">
        <f t="shared" si="399"/>
        <v>SOP.017.9</v>
      </c>
      <c r="C300" s="190" t="str">
        <f t="shared" si="402"/>
        <v>SOP.017.5</v>
      </c>
      <c r="D300" s="190" t="str">
        <f t="shared" si="403"/>
        <v>SOP.017.3.5</v>
      </c>
      <c r="E300" s="190">
        <f t="shared" si="352"/>
        <v>9</v>
      </c>
      <c r="F300" s="190" t="str">
        <f t="shared" si="400"/>
        <v>ALP.BSP.SOP.017.09</v>
      </c>
      <c r="G300" s="190" t="str">
        <f>IF(ISBLANK(N300),"",CONCATENATE(LEFT(F300,15),".",INDEX(Ref!A:A,MATCH(N300,Ref!$K$1:$K$333,0))))</f>
        <v/>
      </c>
      <c r="H300" s="181"/>
      <c r="I300" s="183"/>
      <c r="J300" s="181"/>
      <c r="K300" s="181"/>
      <c r="L300" s="182"/>
      <c r="M300" s="182"/>
      <c r="N300" s="183"/>
      <c r="O300" s="182"/>
      <c r="P300" s="182"/>
      <c r="Q300" s="184"/>
      <c r="R300" s="184"/>
      <c r="S300" s="185" t="str">
        <f>IFERROR(CLEAN(INDEX('Risk Matrix'!$H$7:$L$11,MATCH($Q300,'Risk Matrix'!$F$7:$F$11,0),MATCH($R300,'Risk Matrix'!$H$6:$L$6,0))),"")</f>
        <v/>
      </c>
      <c r="T300" s="85" t="str">
        <f>IF(LEFT($B300,7)=RIGHT('SOP template'!$B$1,7),_xlfn.NUMBERVALUE(RIGHT($S300,2)),"")</f>
        <v/>
      </c>
      <c r="U300" s="182"/>
      <c r="V300" s="182"/>
      <c r="W300" s="182"/>
      <c r="X300" s="182"/>
      <c r="Y300" s="182"/>
      <c r="Z300" s="183"/>
      <c r="AA300" s="186" t="str">
        <f>IFERROR(VLOOKUP(IFERROR(LEFT(S300,4),""),Ref!$AF$2:$AG$5,2,0),"")</f>
        <v/>
      </c>
      <c r="AB300" s="146"/>
      <c r="AC300" s="218"/>
      <c r="AD300" s="187" t="str">
        <f>IFERROR(VLOOKUP(AC300,'Training Matrix'!B$4:C$24,2,0),"")</f>
        <v/>
      </c>
      <c r="AE300" s="218"/>
      <c r="AF300" s="188" t="str">
        <f t="shared" si="360"/>
        <v/>
      </c>
      <c r="AG300" s="189" t="str">
        <f t="shared" ca="1" si="361"/>
        <v/>
      </c>
      <c r="AH300" s="50" t="str">
        <f t="shared" ref="AH300" si="410">IF(OR(AC300="",AE300=""),"",CONCATENATE(AC300,"_",K292,"_",L292))</f>
        <v/>
      </c>
    </row>
    <row r="301" spans="1:34" x14ac:dyDescent="0.25">
      <c r="A301" s="5" t="str">
        <f>IF(LEFT(F301,15)='SOP template'!$B$1,1,"")</f>
        <v/>
      </c>
      <c r="B301" s="190" t="str">
        <f t="shared" si="399"/>
        <v>SOP.017.10</v>
      </c>
      <c r="C301" s="190" t="str">
        <f t="shared" si="402"/>
        <v>SOP.017.5.4</v>
      </c>
      <c r="D301" s="190" t="str">
        <f t="shared" si="403"/>
        <v>SOP.017.4</v>
      </c>
      <c r="E301" s="190">
        <f t="shared" si="352"/>
        <v>10</v>
      </c>
      <c r="F301" s="190" t="str">
        <f t="shared" si="400"/>
        <v>ALP.BSP.SOP.017.10</v>
      </c>
      <c r="G301" s="190" t="str">
        <f>IF(ISBLANK(N301),"",CONCATENATE(LEFT(F301,15),".",INDEX(Ref!A:A,MATCH(N301,Ref!$K$1:$K$333,0))))</f>
        <v/>
      </c>
      <c r="H301" s="181"/>
      <c r="I301" s="183"/>
      <c r="J301" s="181"/>
      <c r="K301" s="181"/>
      <c r="L301" s="182"/>
      <c r="M301" s="182"/>
      <c r="N301" s="183"/>
      <c r="O301" s="182"/>
      <c r="P301" s="182"/>
      <c r="Q301" s="184"/>
      <c r="R301" s="184"/>
      <c r="S301" s="185" t="str">
        <f>IFERROR(CLEAN(INDEX('Risk Matrix'!$H$7:$L$11,MATCH($Q301,'Risk Matrix'!$F$7:$F$11,0),MATCH($R301,'Risk Matrix'!$H$6:$L$6,0))),"")</f>
        <v/>
      </c>
      <c r="T301" s="85" t="str">
        <f>IF(LEFT($B301,7)=RIGHT('SOP template'!$B$1,7),_xlfn.NUMBERVALUE(RIGHT($S301,2)),"")</f>
        <v/>
      </c>
      <c r="U301" s="182"/>
      <c r="V301" s="182"/>
      <c r="W301" s="182"/>
      <c r="X301" s="182"/>
      <c r="Y301" s="182"/>
      <c r="Z301" s="183"/>
      <c r="AA301" s="186" t="str">
        <f>IFERROR(VLOOKUP(IFERROR(LEFT(S301,4),""),Ref!$AF$2:$AG$5,2,0),"")</f>
        <v/>
      </c>
      <c r="AB301" s="146"/>
      <c r="AC301" s="218"/>
      <c r="AD301" s="187" t="str">
        <f>IFERROR(VLOOKUP(AC301,'Training Matrix'!B$4:C$24,2,0),"")</f>
        <v/>
      </c>
      <c r="AE301" s="218"/>
      <c r="AF301" s="188" t="str">
        <f t="shared" si="360"/>
        <v/>
      </c>
      <c r="AG301" s="189" t="str">
        <f t="shared" ca="1" si="361"/>
        <v/>
      </c>
      <c r="AH301" s="50" t="str">
        <f t="shared" ref="AH301" si="411">IF(OR(AC301="",AE301=""),"",CONCATENATE(AC301,"_",K292,"_",L292))</f>
        <v/>
      </c>
    </row>
    <row r="302" spans="1:34" x14ac:dyDescent="0.25">
      <c r="A302" s="5" t="str">
        <f>IF(LEFT(F302,15)='SOP template'!$B$1,1,"")</f>
        <v/>
      </c>
      <c r="B302" s="190" t="str">
        <f t="shared" ref="B302:B309" si="412">CONCATENATE(LEFT(B301,8),E302)</f>
        <v>SOP.017.11</v>
      </c>
      <c r="C302" s="190" t="str">
        <f t="shared" si="402"/>
        <v>SOP.017.6</v>
      </c>
      <c r="D302" s="190" t="str">
        <f t="shared" si="403"/>
        <v>SOP.017.4.3</v>
      </c>
      <c r="E302" s="190">
        <f t="shared" si="352"/>
        <v>11</v>
      </c>
      <c r="F302" s="190" t="str">
        <f t="shared" ref="F302:F309" si="413">IF(K302=0,LEFT(F301,16)&amp;TEXT(E302,"00"),K302&amp;"."&amp;TEXT(E302,"00"))</f>
        <v>ALP.BSP.SOP.017.11</v>
      </c>
      <c r="G302" s="190" t="str">
        <f>IF(ISBLANK(N302),"",CONCATENATE(LEFT(F302,15),".",INDEX(Ref!A:A,MATCH(N302,Ref!$K$1:$K$333,0))))</f>
        <v/>
      </c>
      <c r="H302" s="181"/>
      <c r="I302" s="183"/>
      <c r="J302" s="181"/>
      <c r="K302" s="181"/>
      <c r="L302" s="182"/>
      <c r="M302" s="182"/>
      <c r="N302" s="183"/>
      <c r="O302" s="182"/>
      <c r="P302" s="182"/>
      <c r="Q302" s="184"/>
      <c r="R302" s="184"/>
      <c r="S302" s="185" t="str">
        <f>IFERROR(CLEAN(INDEX('Risk Matrix'!$H$7:$L$11,MATCH($Q302,'Risk Matrix'!$F$7:$F$11,0),MATCH($R302,'Risk Matrix'!$H$6:$L$6,0))),"")</f>
        <v/>
      </c>
      <c r="T302" s="85" t="str">
        <f>IF(LEFT($B302,7)=RIGHT('SOP template'!$B$1,7),_xlfn.NUMBERVALUE(RIGHT($S302,2)),"")</f>
        <v/>
      </c>
      <c r="U302" s="182"/>
      <c r="V302" s="182"/>
      <c r="W302" s="182"/>
      <c r="X302" s="182"/>
      <c r="Y302" s="182"/>
      <c r="Z302" s="183"/>
      <c r="AA302" s="186" t="str">
        <f>IFERROR(VLOOKUP(IFERROR(LEFT(S302,4),""),Ref!$AF$2:$AG$5,2,0),"")</f>
        <v/>
      </c>
      <c r="AB302" s="146"/>
      <c r="AC302" s="218"/>
      <c r="AD302" s="187" t="str">
        <f>IFERROR(VLOOKUP(AC302,'Training Matrix'!B$4:C$24,2,0),"")</f>
        <v/>
      </c>
      <c r="AE302" s="218"/>
      <c r="AF302" s="188" t="str">
        <f t="shared" si="360"/>
        <v/>
      </c>
      <c r="AG302" s="189" t="str">
        <f t="shared" ca="1" si="361"/>
        <v/>
      </c>
      <c r="AH302" s="50" t="str">
        <f t="shared" ref="AH302" si="414">IF(OR(AC302="",AE302=""),"",CONCATENATE(AC302,"_",K292,"_",L292))</f>
        <v/>
      </c>
    </row>
    <row r="303" spans="1:34" x14ac:dyDescent="0.25">
      <c r="A303" s="5" t="str">
        <f>IF(LEFT(F303,15)='SOP template'!$B$1,1,"")</f>
        <v/>
      </c>
      <c r="B303" s="190" t="str">
        <f t="shared" si="412"/>
        <v>SOP.017.12</v>
      </c>
      <c r="C303" s="190" t="str">
        <f t="shared" si="402"/>
        <v>SOP.017.6.4</v>
      </c>
      <c r="D303" s="190" t="str">
        <f t="shared" si="403"/>
        <v>SOP.017.4.5</v>
      </c>
      <c r="E303" s="190">
        <f t="shared" si="352"/>
        <v>12</v>
      </c>
      <c r="F303" s="190" t="str">
        <f t="shared" si="413"/>
        <v>ALP.BSP.SOP.017.12</v>
      </c>
      <c r="G303" s="190" t="str">
        <f>IF(ISBLANK(N303),"",CONCATENATE(LEFT(F303,15),".",INDEX(Ref!A:A,MATCH(N303,Ref!$K$1:$K$333,0))))</f>
        <v/>
      </c>
      <c r="H303" s="181"/>
      <c r="I303" s="183"/>
      <c r="J303" s="181"/>
      <c r="K303" s="181"/>
      <c r="L303" s="182"/>
      <c r="M303" s="182"/>
      <c r="N303" s="183"/>
      <c r="O303" s="182"/>
      <c r="P303" s="182"/>
      <c r="Q303" s="184"/>
      <c r="R303" s="184"/>
      <c r="S303" s="185" t="str">
        <f>IFERROR(CLEAN(INDEX('Risk Matrix'!$H$7:$L$11,MATCH($Q303,'Risk Matrix'!$F$7:$F$11,0),MATCH($R303,'Risk Matrix'!$H$6:$L$6,0))),"")</f>
        <v/>
      </c>
      <c r="T303" s="85" t="str">
        <f>IF(LEFT($B303,7)=RIGHT('SOP template'!$B$1,7),_xlfn.NUMBERVALUE(RIGHT($S303,2)),"")</f>
        <v/>
      </c>
      <c r="U303" s="182"/>
      <c r="V303" s="182"/>
      <c r="W303" s="182"/>
      <c r="X303" s="182"/>
      <c r="Y303" s="182"/>
      <c r="Z303" s="183"/>
      <c r="AA303" s="186" t="str">
        <f>IFERROR(VLOOKUP(IFERROR(LEFT(S303,4),""),Ref!$AF$2:$AG$5,2,0),"")</f>
        <v/>
      </c>
      <c r="AB303" s="146"/>
      <c r="AC303" s="218"/>
      <c r="AD303" s="187" t="str">
        <f>IFERROR(VLOOKUP(AC303,'Training Matrix'!B$4:C$24,2,0),"")</f>
        <v/>
      </c>
      <c r="AE303" s="218"/>
      <c r="AF303" s="188" t="str">
        <f t="shared" si="360"/>
        <v/>
      </c>
      <c r="AG303" s="189" t="str">
        <f t="shared" ca="1" si="361"/>
        <v/>
      </c>
      <c r="AH303" s="50" t="str">
        <f t="shared" ref="AH303" si="415">IF(OR(AC303="",AE303=""),"",CONCATENATE(AC303,"_",K292,"_",L292))</f>
        <v/>
      </c>
    </row>
    <row r="304" spans="1:34" x14ac:dyDescent="0.25">
      <c r="A304" s="5" t="str">
        <f>IF(LEFT(F304,15)='SOP template'!$B$1,1,"")</f>
        <v/>
      </c>
      <c r="B304" s="190" t="str">
        <f t="shared" si="412"/>
        <v>SOP.017.13</v>
      </c>
      <c r="C304" s="190" t="str">
        <f t="shared" si="402"/>
        <v>SOP.017.</v>
      </c>
      <c r="D304" s="190" t="str">
        <f t="shared" si="403"/>
        <v>SOP.017.</v>
      </c>
      <c r="E304" s="190">
        <f t="shared" si="352"/>
        <v>13</v>
      </c>
      <c r="F304" s="190" t="str">
        <f t="shared" si="413"/>
        <v>ALP.BSP.SOP.017.13</v>
      </c>
      <c r="G304" s="190" t="str">
        <f>IF(ISBLANK(N304),"",CONCATENATE(LEFT(F304,15),".",INDEX(Ref!A:A,MATCH(N304,Ref!$K$1:$K$333,0))))</f>
        <v/>
      </c>
      <c r="H304" s="181"/>
      <c r="I304" s="183"/>
      <c r="J304" s="181"/>
      <c r="K304" s="181"/>
      <c r="L304" s="182"/>
      <c r="M304" s="182"/>
      <c r="N304" s="183"/>
      <c r="O304" s="182"/>
      <c r="P304" s="182"/>
      <c r="Q304" s="184"/>
      <c r="R304" s="184"/>
      <c r="S304" s="185" t="str">
        <f>IFERROR(CLEAN(INDEX('Risk Matrix'!$H$7:$L$11,MATCH($Q304,'Risk Matrix'!$F$7:$F$11,0),MATCH($R304,'Risk Matrix'!$H$6:$L$6,0))),"")</f>
        <v/>
      </c>
      <c r="T304" s="85" t="str">
        <f>IF(LEFT($B304,7)=RIGHT('SOP template'!$B$1,7),_xlfn.NUMBERVALUE(RIGHT($S304,2)),"")</f>
        <v/>
      </c>
      <c r="U304" s="182"/>
      <c r="V304" s="182"/>
      <c r="W304" s="182"/>
      <c r="X304" s="182"/>
      <c r="Y304" s="182"/>
      <c r="Z304" s="183"/>
      <c r="AA304" s="186" t="str">
        <f>IFERROR(VLOOKUP(IFERROR(LEFT(S304,4),""),Ref!$AF$2:$AG$5,2,0),"")</f>
        <v/>
      </c>
      <c r="AB304" s="146"/>
      <c r="AC304" s="218"/>
      <c r="AD304" s="187" t="str">
        <f>IFERROR(VLOOKUP(AC304,'Training Matrix'!B$4:C$24,2,0),"")</f>
        <v/>
      </c>
      <c r="AE304" s="218"/>
      <c r="AF304" s="188" t="str">
        <f t="shared" si="360"/>
        <v/>
      </c>
      <c r="AG304" s="189" t="str">
        <f t="shared" ca="1" si="361"/>
        <v/>
      </c>
      <c r="AH304" s="50" t="str">
        <f t="shared" ref="AH304" si="416">IF(OR(AC304="",AE304=""),"",CONCATENATE(AC304,"_",K292,"_",L292))</f>
        <v/>
      </c>
    </row>
    <row r="305" spans="1:34" x14ac:dyDescent="0.25">
      <c r="A305" s="5" t="str">
        <f>IF(LEFT(F305,15)='SOP template'!$B$1,1,"")</f>
        <v/>
      </c>
      <c r="B305" s="190" t="str">
        <f t="shared" si="412"/>
        <v>SOP.017.14</v>
      </c>
      <c r="C305" s="190" t="str">
        <f t="shared" si="402"/>
        <v>SOP.017.</v>
      </c>
      <c r="D305" s="190" t="str">
        <f t="shared" si="403"/>
        <v>SOP.017.</v>
      </c>
      <c r="E305" s="190">
        <f t="shared" si="352"/>
        <v>14</v>
      </c>
      <c r="F305" s="190" t="str">
        <f t="shared" si="413"/>
        <v>ALP.BSP.SOP.017.14</v>
      </c>
      <c r="G305" s="190" t="str">
        <f>IF(ISBLANK(N305),"",CONCATENATE(LEFT(F305,15),".",INDEX(Ref!A:A,MATCH(N305,Ref!$K$1:$K$333,0))))</f>
        <v/>
      </c>
      <c r="H305" s="181"/>
      <c r="I305" s="183"/>
      <c r="J305" s="181"/>
      <c r="K305" s="181"/>
      <c r="L305" s="182"/>
      <c r="M305" s="182"/>
      <c r="N305" s="183"/>
      <c r="O305" s="182"/>
      <c r="P305" s="182"/>
      <c r="Q305" s="184"/>
      <c r="R305" s="184"/>
      <c r="S305" s="185" t="str">
        <f>IFERROR(CLEAN(INDEX('Risk Matrix'!$H$7:$L$11,MATCH($Q305,'Risk Matrix'!$F$7:$F$11,0),MATCH($R305,'Risk Matrix'!$H$6:$L$6,0))),"")</f>
        <v/>
      </c>
      <c r="T305" s="85" t="str">
        <f>IF(LEFT($B305,7)=RIGHT('SOP template'!$B$1,7),_xlfn.NUMBERVALUE(RIGHT($S305,2)),"")</f>
        <v/>
      </c>
      <c r="U305" s="182"/>
      <c r="V305" s="182"/>
      <c r="W305" s="182"/>
      <c r="X305" s="182"/>
      <c r="Y305" s="182"/>
      <c r="Z305" s="183"/>
      <c r="AA305" s="186" t="str">
        <f>IFERROR(VLOOKUP(IFERROR(LEFT(S305,4),""),Ref!$AF$2:$AG$5,2,0),"")</f>
        <v/>
      </c>
      <c r="AB305" s="146"/>
      <c r="AC305" s="218"/>
      <c r="AD305" s="187" t="str">
        <f>IFERROR(VLOOKUP(AC305,'Training Matrix'!B$4:C$24,2,0),"")</f>
        <v/>
      </c>
      <c r="AE305" s="218"/>
      <c r="AF305" s="188" t="str">
        <f t="shared" si="360"/>
        <v/>
      </c>
      <c r="AG305" s="189" t="str">
        <f t="shared" ca="1" si="361"/>
        <v/>
      </c>
      <c r="AH305" s="50" t="str">
        <f t="shared" ref="AH305" si="417">IF(OR(AC305="",AE305=""),"",CONCATENATE(AC305,"_",K292,"_",L292))</f>
        <v/>
      </c>
    </row>
    <row r="306" spans="1:34" x14ac:dyDescent="0.25">
      <c r="A306" s="5" t="str">
        <f>IF(LEFT(F306,15)='SOP template'!$B$1,1,"")</f>
        <v/>
      </c>
      <c r="B306" s="190" t="str">
        <f t="shared" si="412"/>
        <v>SOP.017.15</v>
      </c>
      <c r="C306" s="190" t="str">
        <f t="shared" si="402"/>
        <v>SOP.017.</v>
      </c>
      <c r="D306" s="190" t="str">
        <f t="shared" si="403"/>
        <v>SOP.017.</v>
      </c>
      <c r="E306" s="190">
        <f t="shared" si="352"/>
        <v>15</v>
      </c>
      <c r="F306" s="190" t="str">
        <f t="shared" si="413"/>
        <v>ALP.BSP.SOP.017.15</v>
      </c>
      <c r="G306" s="190" t="str">
        <f>IF(ISBLANK(N306),"",CONCATENATE(LEFT(F306,15),".",INDEX(Ref!A:A,MATCH(N306,Ref!$K$1:$K$333,0))))</f>
        <v/>
      </c>
      <c r="H306" s="181"/>
      <c r="I306" s="183"/>
      <c r="J306" s="181"/>
      <c r="K306" s="181"/>
      <c r="L306" s="182"/>
      <c r="M306" s="182"/>
      <c r="N306" s="183"/>
      <c r="O306" s="182"/>
      <c r="P306" s="182"/>
      <c r="Q306" s="184"/>
      <c r="R306" s="184"/>
      <c r="S306" s="185" t="str">
        <f>IFERROR(CLEAN(INDEX('Risk Matrix'!$H$7:$L$11,MATCH($Q306,'Risk Matrix'!$F$7:$F$11,0),MATCH($R306,'Risk Matrix'!$H$6:$L$6,0))),"")</f>
        <v/>
      </c>
      <c r="T306" s="85" t="str">
        <f>IF(LEFT($B306,7)=RIGHT('SOP template'!$B$1,7),_xlfn.NUMBERVALUE(RIGHT($S306,2)),"")</f>
        <v/>
      </c>
      <c r="U306" s="182"/>
      <c r="V306" s="182"/>
      <c r="W306" s="182"/>
      <c r="X306" s="182"/>
      <c r="Y306" s="182"/>
      <c r="Z306" s="183"/>
      <c r="AA306" s="186" t="str">
        <f>IFERROR(VLOOKUP(IFERROR(LEFT(S306,4),""),Ref!$AF$2:$AG$5,2,0),"")</f>
        <v/>
      </c>
      <c r="AB306" s="146"/>
      <c r="AC306" s="218"/>
      <c r="AD306" s="187" t="str">
        <f>IFERROR(VLOOKUP(AC306,'Training Matrix'!B$4:C$24,2,0),"")</f>
        <v/>
      </c>
      <c r="AE306" s="218"/>
      <c r="AF306" s="188" t="str">
        <f t="shared" si="360"/>
        <v/>
      </c>
      <c r="AG306" s="189" t="str">
        <f t="shared" ca="1" si="361"/>
        <v/>
      </c>
      <c r="AH306" s="50" t="str">
        <f t="shared" ref="AH306" si="418">IF(OR(AC306="",AE306=""),"",CONCATENATE(AC306,"_",K292,"_",L292))</f>
        <v/>
      </c>
    </row>
    <row r="307" spans="1:34" x14ac:dyDescent="0.25">
      <c r="A307" s="5" t="str">
        <f>IF(LEFT(F307,15)='SOP template'!$B$1,1,"")</f>
        <v/>
      </c>
      <c r="B307" s="190" t="str">
        <f t="shared" si="412"/>
        <v>SOP.017.16</v>
      </c>
      <c r="C307" s="190" t="str">
        <f t="shared" si="402"/>
        <v>SOP.017.</v>
      </c>
      <c r="D307" s="190" t="str">
        <f t="shared" si="403"/>
        <v>SOP.017.</v>
      </c>
      <c r="E307" s="190">
        <f t="shared" si="352"/>
        <v>16</v>
      </c>
      <c r="F307" s="190" t="str">
        <f t="shared" si="413"/>
        <v>ALP.BSP.SOP.017.16</v>
      </c>
      <c r="G307" s="190" t="str">
        <f>IF(ISBLANK(N307),"",CONCATENATE(LEFT(F307,15),".",INDEX(Ref!A:A,MATCH(N307,Ref!$K$1:$K$333,0))))</f>
        <v/>
      </c>
      <c r="H307" s="181"/>
      <c r="I307" s="183"/>
      <c r="J307" s="181"/>
      <c r="K307" s="181"/>
      <c r="L307" s="182"/>
      <c r="M307" s="182"/>
      <c r="N307" s="183"/>
      <c r="O307" s="182"/>
      <c r="P307" s="182"/>
      <c r="Q307" s="184"/>
      <c r="R307" s="184"/>
      <c r="S307" s="185" t="str">
        <f>IFERROR(CLEAN(INDEX('Risk Matrix'!$H$7:$L$11,MATCH($Q307,'Risk Matrix'!$F$7:$F$11,0),MATCH($R307,'Risk Matrix'!$H$6:$L$6,0))),"")</f>
        <v/>
      </c>
      <c r="T307" s="85" t="str">
        <f>IF(LEFT($B307,7)=RIGHT('SOP template'!$B$1,7),_xlfn.NUMBERVALUE(RIGHT($S307,2)),"")</f>
        <v/>
      </c>
      <c r="U307" s="182"/>
      <c r="V307" s="182"/>
      <c r="W307" s="182"/>
      <c r="X307" s="182"/>
      <c r="Y307" s="182"/>
      <c r="Z307" s="183"/>
      <c r="AA307" s="186" t="str">
        <f>IFERROR(VLOOKUP(IFERROR(LEFT(S307,4),""),Ref!$AF$2:$AG$5,2,0),"")</f>
        <v/>
      </c>
      <c r="AB307" s="146"/>
      <c r="AC307" s="218"/>
      <c r="AD307" s="187" t="str">
        <f>IFERROR(VLOOKUP(AC307,'Training Matrix'!B$4:C$24,2,0),"")</f>
        <v/>
      </c>
      <c r="AE307" s="218"/>
      <c r="AF307" s="188" t="str">
        <f t="shared" si="360"/>
        <v/>
      </c>
      <c r="AG307" s="189" t="str">
        <f t="shared" ca="1" si="361"/>
        <v/>
      </c>
      <c r="AH307" s="50" t="str">
        <f t="shared" ref="AH307" si="419">IF(OR(AC307="",AE307=""),"",CONCATENATE(AC307,"_",K292,"_",L292))</f>
        <v/>
      </c>
    </row>
    <row r="308" spans="1:34" x14ac:dyDescent="0.25">
      <c r="A308" s="5" t="str">
        <f>IF(LEFT(F308,15)='SOP template'!$B$1,1,"")</f>
        <v/>
      </c>
      <c r="B308" s="190" t="str">
        <f t="shared" si="412"/>
        <v>SOP.017.17</v>
      </c>
      <c r="C308" s="190" t="str">
        <f t="shared" si="402"/>
        <v>SOP.017.</v>
      </c>
      <c r="D308" s="190" t="str">
        <f t="shared" si="403"/>
        <v>SOP.017.</v>
      </c>
      <c r="E308" s="190">
        <f t="shared" si="352"/>
        <v>17</v>
      </c>
      <c r="F308" s="190" t="str">
        <f t="shared" si="413"/>
        <v>ALP.BSP.SOP.017.17</v>
      </c>
      <c r="G308" s="190" t="str">
        <f>IF(ISBLANK(N308),"",CONCATENATE(LEFT(F308,15),".",INDEX(Ref!A:A,MATCH(N308,Ref!$K$1:$K$333,0))))</f>
        <v/>
      </c>
      <c r="H308" s="181"/>
      <c r="I308" s="183"/>
      <c r="J308" s="181"/>
      <c r="K308" s="181"/>
      <c r="L308" s="182"/>
      <c r="M308" s="182"/>
      <c r="N308" s="183"/>
      <c r="O308" s="182"/>
      <c r="P308" s="182"/>
      <c r="Q308" s="184"/>
      <c r="R308" s="184"/>
      <c r="S308" s="185" t="str">
        <f>IFERROR(CLEAN(INDEX('Risk Matrix'!$H$7:$L$11,MATCH($Q308,'Risk Matrix'!$F$7:$F$11,0),MATCH($R308,'Risk Matrix'!$H$6:$L$6,0))),"")</f>
        <v/>
      </c>
      <c r="T308" s="85" t="str">
        <f>IF(LEFT($B308,7)=RIGHT('SOP template'!$B$1,7),_xlfn.NUMBERVALUE(RIGHT($S308,2)),"")</f>
        <v/>
      </c>
      <c r="U308" s="182"/>
      <c r="V308" s="182"/>
      <c r="W308" s="182"/>
      <c r="X308" s="182"/>
      <c r="Y308" s="182"/>
      <c r="Z308" s="183"/>
      <c r="AA308" s="186" t="str">
        <f>IFERROR(VLOOKUP(IFERROR(LEFT(S308,4),""),Ref!$AF$2:$AG$5,2,0),"")</f>
        <v/>
      </c>
      <c r="AB308" s="146"/>
      <c r="AC308" s="218"/>
      <c r="AD308" s="187" t="str">
        <f>IFERROR(VLOOKUP(AC308,'Training Matrix'!B$4:C$24,2,0),"")</f>
        <v/>
      </c>
      <c r="AE308" s="218"/>
      <c r="AF308" s="188" t="str">
        <f t="shared" si="360"/>
        <v/>
      </c>
      <c r="AG308" s="189" t="str">
        <f t="shared" ca="1" si="361"/>
        <v/>
      </c>
      <c r="AH308" s="50" t="str">
        <f t="shared" ref="AH308" si="420">IF(OR(AC308="",AE308=""),"",CONCATENATE(AC308,"_",K292,"_",L292))</f>
        <v/>
      </c>
    </row>
    <row r="309" spans="1:34" x14ac:dyDescent="0.25">
      <c r="A309" s="5" t="str">
        <f>IF(LEFT(F309,15)='SOP template'!$B$1,1,"")</f>
        <v/>
      </c>
      <c r="B309" s="190" t="str">
        <f t="shared" si="412"/>
        <v>SOP.017.18</v>
      </c>
      <c r="C309" s="190" t="str">
        <f t="shared" si="402"/>
        <v>SOP.017.</v>
      </c>
      <c r="D309" s="190" t="str">
        <f t="shared" si="403"/>
        <v>SOP.017.</v>
      </c>
      <c r="E309" s="190">
        <f t="shared" si="352"/>
        <v>18</v>
      </c>
      <c r="F309" s="190" t="str">
        <f t="shared" si="413"/>
        <v>ALP.BSP.SOP.017.18</v>
      </c>
      <c r="G309" s="190" t="str">
        <f>IF(ISBLANK(N309),"",CONCATENATE(LEFT(F309,15),".",INDEX(Ref!A:A,MATCH(N309,Ref!$K$1:$K$333,0))))</f>
        <v/>
      </c>
      <c r="H309" s="181"/>
      <c r="I309" s="183"/>
      <c r="J309" s="181"/>
      <c r="K309" s="181"/>
      <c r="L309" s="182"/>
      <c r="M309" s="182"/>
      <c r="N309" s="183"/>
      <c r="O309" s="182"/>
      <c r="P309" s="182"/>
      <c r="Q309" s="184"/>
      <c r="R309" s="184"/>
      <c r="S309" s="185" t="str">
        <f>IFERROR(CLEAN(INDEX('Risk Matrix'!$H$7:$L$11,MATCH($Q309,'Risk Matrix'!$F$7:$F$11,0),MATCH($R309,'Risk Matrix'!$H$6:$L$6,0))),"")</f>
        <v/>
      </c>
      <c r="T309" s="85" t="str">
        <f>IF(LEFT($B309,7)=RIGHT('SOP template'!$B$1,7),_xlfn.NUMBERVALUE(RIGHT($S309,2)),"")</f>
        <v/>
      </c>
      <c r="U309" s="182"/>
      <c r="V309" s="182"/>
      <c r="W309" s="182"/>
      <c r="X309" s="182"/>
      <c r="Y309" s="182"/>
      <c r="Z309" s="183"/>
      <c r="AA309" s="186" t="str">
        <f>IFERROR(VLOOKUP(IFERROR(LEFT(S309,4),""),Ref!$AF$2:$AG$5,2,0),"")</f>
        <v/>
      </c>
      <c r="AB309" s="146"/>
      <c r="AC309" s="218"/>
      <c r="AD309" s="187" t="str">
        <f>IFERROR(VLOOKUP(AC309,'Training Matrix'!B$4:C$24,2,0),"")</f>
        <v/>
      </c>
      <c r="AE309" s="218"/>
      <c r="AF309" s="188" t="str">
        <f t="shared" si="360"/>
        <v/>
      </c>
      <c r="AG309" s="189" t="str">
        <f t="shared" ca="1" si="361"/>
        <v/>
      </c>
      <c r="AH309" s="50" t="str">
        <f t="shared" ref="AH309" si="421">IF(OR(AC309="",AE309=""),"",CONCATENATE(AC309,"_",K292,"_",L292))</f>
        <v/>
      </c>
    </row>
    <row r="310" spans="1:34" ht="105" x14ac:dyDescent="0.25">
      <c r="A310" s="5" t="str">
        <f>IF(LEFT(F310,15)='SOP template'!$B$1,1,"")</f>
        <v/>
      </c>
      <c r="B310" s="179" t="str">
        <f t="shared" ref="B310" si="422">IF(ISBLANK($K310),CONCATENATE($B$2,".",TEXT(J310,"000"),".",$E310),CONCATENATE(RIGHT($K310,7),".1"))</f>
        <v>SOP.018.1</v>
      </c>
      <c r="C310" s="179" t="str">
        <f>IF(ISBLANK($K310),CONCATENATE(LEFT(#REF!,8),IF($E310=1,1.1,IF($E310=2,1.4,IF($E310=3,2,IF($E310=4,2.4,IF($E310=5,3,IF($E310=6,3.4,IF($E310=7,4,IF($E310=8,4.4,IF($E310=9,5,IF($E310=10,5.4,IF($E310=11,6,IF($E310=12,6.4,""))))))))))))),CONCATENATE(RIGHT($K310,7),".1"))</f>
        <v>SOP.018.1</v>
      </c>
      <c r="D310" s="179" t="str">
        <f>IF(ISBLANK($K310),CONCATENATE(LEFT(#REF!,8),IF($E310=1,1,IF($E310=2,1.3,IF($E310=3,1.5,IF($E310=4,2,IF($E310=5,2.3,IF($E310=6,2.5,IF($E310=7,3,IF($E310=8,3.3,IF($E310=9,3.5,IF($E310=10,4,IF($E310=11,4.3,IF($E310=12,4.5,""))))))))))))),CONCATENATE(RIGHT($K310,7),".1"))</f>
        <v>SOP.018.1</v>
      </c>
      <c r="E310" s="179">
        <f t="shared" si="352"/>
        <v>1</v>
      </c>
      <c r="F310" s="179" t="str">
        <f t="shared" ref="F310" si="423">K310&amp;"."&amp;TEXT(E310,"00")</f>
        <v>ALP.BSP.SOP.018.01</v>
      </c>
      <c r="G310" s="179" t="str">
        <f>IF(ISBLANK(N310),"",CONCATENATE(LEFT(F310,15),".",INDEX(Ref!A:A,MATCH(N310,Ref!$K$1:$K$333,0))))</f>
        <v>ALP.BSP.SOP.018.1</v>
      </c>
      <c r="H310" s="217" t="s">
        <v>394</v>
      </c>
      <c r="I310" s="217" t="s">
        <v>275</v>
      </c>
      <c r="J310" s="180">
        <v>18</v>
      </c>
      <c r="K310" s="181" t="str">
        <f>IFERROR(CONCATENATE(INDEX(Ref!$Z$2:$Z$8,MATCH(H310,Ref!$AA$2:$AA$8,0)),".",I310,".SOP.",TEXT(J310,"000")),CONCATENATE(H310,".",I310,".SOP.",TEXT(J310,"000")))</f>
        <v>ALP.BSP.SOP.018</v>
      </c>
      <c r="L310" s="191" t="s">
        <v>1002</v>
      </c>
      <c r="M310" s="182" t="s">
        <v>1003</v>
      </c>
      <c r="N310" s="183" t="s">
        <v>117</v>
      </c>
      <c r="O310" s="182" t="s">
        <v>411</v>
      </c>
      <c r="P310" s="182" t="s">
        <v>636</v>
      </c>
      <c r="Q310" s="184" t="s">
        <v>89</v>
      </c>
      <c r="R310" s="184" t="s">
        <v>90</v>
      </c>
      <c r="S310" s="185" t="str">
        <f>IFERROR(CLEAN(INDEX('Risk Matrix'!$H$7:$L$11,MATCH($Q310,'Risk Matrix'!$F$7:$F$11,0),MATCH($R310,'Risk Matrix'!$H$6:$L$6,0))),"")</f>
        <v>Medium 2</v>
      </c>
      <c r="T310" s="85"/>
      <c r="U310" s="182" t="s">
        <v>805</v>
      </c>
      <c r="V310" s="182" t="s">
        <v>810</v>
      </c>
      <c r="W310" s="182" t="s">
        <v>865</v>
      </c>
      <c r="X310" s="182" t="s">
        <v>866</v>
      </c>
      <c r="Y310" s="182" t="s">
        <v>867</v>
      </c>
      <c r="Z310" s="182" t="s">
        <v>868</v>
      </c>
      <c r="AA310" s="186">
        <f>IFERROR(VLOOKUP(IFERROR(LEFT(S310,4),""),Ref!$AF$2:$AG$5,2,0),"")</f>
        <v>24</v>
      </c>
      <c r="AB310" s="186">
        <f>MIN($AA310:$AA327)</f>
        <v>24</v>
      </c>
      <c r="AC310" s="218" t="s">
        <v>289</v>
      </c>
      <c r="AD310" s="187" t="str">
        <f>IFERROR(VLOOKUP(AC310,'Training Matrix'!B$4:C$24,2,0),"")</f>
        <v>Dock Manager</v>
      </c>
      <c r="AE310" s="221">
        <v>45792</v>
      </c>
      <c r="AF310" s="188">
        <f t="shared" si="360"/>
        <v>46522</v>
      </c>
      <c r="AG310" s="189" t="str">
        <f t="shared" ca="1" si="361"/>
        <v>Current</v>
      </c>
      <c r="AH310" s="50" t="str">
        <f t="shared" ref="AH310" si="424">IF(OR(AC310="",AE310=""),"",CONCATENATE(AC310,"_",K310,"_",L310))</f>
        <v>Person 1_ALP.BSP.SOP.018_Specimen Preparation</v>
      </c>
    </row>
    <row r="311" spans="1:34" ht="45" x14ac:dyDescent="0.25">
      <c r="A311" s="5" t="str">
        <f>IF(LEFT(F311,15)='SOP template'!$B$1,1,"")</f>
        <v/>
      </c>
      <c r="B311" s="190" t="str">
        <f t="shared" ref="B311:B319" si="425">CONCATENATE(LEFT(B310,8),E311)</f>
        <v>SOP.018.2</v>
      </c>
      <c r="C311" s="190" t="str">
        <f>IF(ISBLANK($K311),CONCATENATE(LEFT($B310,8),IF($E311=1,1.1,IF($E311=2,1.4,IF($E311=3,2,IF($E311=4,2.4,IF($E311=5,3,IF($E311=6,3.4,IF($E311=7,4,IF($E311=8,4.4,IF($E311=9,5,IF($E311=10,5.4,IF($E311=11,6,IF($E311=12,6.4,""))))))))))))),CONCATENATE(RIGHT($K311,7),".1"))</f>
        <v>SOP.018.1.4</v>
      </c>
      <c r="D311" s="190" t="str">
        <f>IF(ISBLANK($K311),CONCATENATE(LEFT($B310,8),IF($E311=1,1,IF($E311=2,1.3,IF($E311=3,1.5,IF($E311=4,2,IF($E311=5,2.3,IF($E311=6,2.5,IF($E311=7,3,IF($E311=8,3.3,IF($E311=9,3.5,IF($E311=10,4,IF($E311=11,4.3,IF($E311=12,4.5,""))))))))))))),CONCATENATE(RIGHT($K311,7),".1"))</f>
        <v>SOP.018.1.3</v>
      </c>
      <c r="E311" s="190">
        <f t="shared" si="352"/>
        <v>2</v>
      </c>
      <c r="F311" s="190" t="str">
        <f t="shared" ref="F311:F319" si="426">IF(K311=0,LEFT(F310,16)&amp;TEXT(E311,"00"),K311&amp;"."&amp;TEXT(E311,"00"))</f>
        <v>ALP.BSP.SOP.018.02</v>
      </c>
      <c r="G311" s="190" t="str">
        <f>IF(ISBLANK(N311),"",CONCATENATE(LEFT(F311,15),".",INDEX(Ref!A:A,MATCH(N311,Ref!$K$1:$K$333,0))))</f>
        <v>ALP.BSP.SOP.018.2</v>
      </c>
      <c r="H311" s="181"/>
      <c r="I311" s="183"/>
      <c r="J311" s="181"/>
      <c r="K311" s="181"/>
      <c r="L311" s="182"/>
      <c r="M311" s="182"/>
      <c r="N311" s="183" t="s">
        <v>94</v>
      </c>
      <c r="O311" s="182" t="s">
        <v>498</v>
      </c>
      <c r="P311" s="182" t="s">
        <v>499</v>
      </c>
      <c r="Q311" s="184" t="s">
        <v>92</v>
      </c>
      <c r="R311" s="184" t="s">
        <v>90</v>
      </c>
      <c r="S311" s="185" t="str">
        <f>IFERROR(CLEAN(INDEX('Risk Matrix'!$H$7:$L$11,MATCH($Q311,'Risk Matrix'!$F$7:$F$11,0),MATCH($R311,'Risk Matrix'!$H$6:$L$6,0))),"")</f>
        <v>Medium 2</v>
      </c>
      <c r="T311" s="85"/>
      <c r="U311" s="182" t="s">
        <v>869</v>
      </c>
      <c r="V311" s="182" t="s">
        <v>821</v>
      </c>
      <c r="W311" s="182" t="s">
        <v>870</v>
      </c>
      <c r="X311" s="182" t="s">
        <v>871</v>
      </c>
      <c r="Y311" s="182" t="s">
        <v>872</v>
      </c>
      <c r="Z311" s="182" t="s">
        <v>662</v>
      </c>
      <c r="AA311" s="186">
        <f>IFERROR(VLOOKUP(IFERROR(LEFT(S311,4),""),Ref!$AF$2:$AG$5,2,0),"")</f>
        <v>24</v>
      </c>
      <c r="AB311" s="146"/>
      <c r="AC311" s="218" t="s">
        <v>290</v>
      </c>
      <c r="AD311" s="187" t="str">
        <f>IFERROR(VLOOKUP(AC311,'Training Matrix'!B$4:C$24,2,0),"")</f>
        <v>WHS Team member</v>
      </c>
      <c r="AE311" s="221">
        <v>45792</v>
      </c>
      <c r="AF311" s="188">
        <f t="shared" si="360"/>
        <v>46522</v>
      </c>
      <c r="AG311" s="189" t="str">
        <f t="shared" ca="1" si="361"/>
        <v>Current</v>
      </c>
      <c r="AH311" s="50" t="str">
        <f t="shared" ref="AH311" si="427">IF(OR(AC311="",AE311=""),"",CONCATENATE(AC311,"_",K310,"_",L310))</f>
        <v>Person 2_ALP.BSP.SOP.018_Specimen Preparation</v>
      </c>
    </row>
    <row r="312" spans="1:34" ht="45" x14ac:dyDescent="0.25">
      <c r="A312" s="5" t="str">
        <f>IF(LEFT(F312,15)='SOP template'!$B$1,1,"")</f>
        <v/>
      </c>
      <c r="B312" s="190" t="str">
        <f t="shared" si="425"/>
        <v>SOP.018.3</v>
      </c>
      <c r="C312" s="190" t="str">
        <f t="shared" ref="C312:C327" si="428">IF(ISBLANK($K312),CONCATENATE(LEFT($B311,8),IF($E312=1,1.1,IF($E312=2,1.4,IF($E312=3,2,IF($E312=4,2.4,IF($E312=5,3,IF($E312=6,3.4,IF($E312=7,4,IF($E312=8,4.4,IF($E312=9,5,IF($E312=10,5.4,IF($E312=11,6,IF($E312=12,6.4,""))))))))))))),CONCATENATE(RIGHT($K312,7),".1"))</f>
        <v>SOP.018.2</v>
      </c>
      <c r="D312" s="190" t="str">
        <f t="shared" ref="D312:D327" si="429">IF(ISBLANK($K312),CONCATENATE(LEFT($B311,8),IF($E312=1,1,IF($E312=2,1.3,IF($E312=3,1.5,IF($E312=4,2,IF($E312=5,2.3,IF($E312=6,2.5,IF($E312=7,3,IF($E312=8,3.3,IF($E312=9,3.5,IF($E312=10,4,IF($E312=11,4.3,IF($E312=12,4.5,""))))))))))))),CONCATENATE(RIGHT($K312,7),".1"))</f>
        <v>SOP.018.1.5</v>
      </c>
      <c r="E312" s="190">
        <f t="shared" si="352"/>
        <v>3</v>
      </c>
      <c r="F312" s="190" t="str">
        <f t="shared" si="426"/>
        <v>ALP.BSP.SOP.018.03</v>
      </c>
      <c r="G312" s="190" t="str">
        <f>IF(ISBLANK(N312),"",CONCATENATE(LEFT(F312,15),".",INDEX(Ref!A:A,MATCH(N312,Ref!$K$1:$K$333,0))))</f>
        <v>ALP.BSP.SOP.018.7</v>
      </c>
      <c r="H312" s="181"/>
      <c r="I312" s="183"/>
      <c r="J312" s="181"/>
      <c r="K312" s="181"/>
      <c r="L312" s="182"/>
      <c r="M312" s="182"/>
      <c r="N312" s="183" t="s">
        <v>88</v>
      </c>
      <c r="O312" s="182" t="s">
        <v>1004</v>
      </c>
      <c r="P312" s="182" t="s">
        <v>418</v>
      </c>
      <c r="Q312" s="184" t="s">
        <v>89</v>
      </c>
      <c r="R312" s="184" t="s">
        <v>91</v>
      </c>
      <c r="S312" s="185" t="str">
        <f>IFERROR(CLEAN(INDEX('Risk Matrix'!$H$7:$L$11,MATCH($Q312,'Risk Matrix'!$F$7:$F$11,0),MATCH($R312,'Risk Matrix'!$H$6:$L$6,0))),"")</f>
        <v>Low 1</v>
      </c>
      <c r="T312" s="85"/>
      <c r="U312" s="182" t="s">
        <v>494</v>
      </c>
      <c r="V312" s="182"/>
      <c r="W312" s="182" t="s">
        <v>873</v>
      </c>
      <c r="X312" s="182" t="s">
        <v>874</v>
      </c>
      <c r="Y312" s="182" t="s">
        <v>875</v>
      </c>
      <c r="Z312" s="182" t="s">
        <v>876</v>
      </c>
      <c r="AA312" s="186">
        <f>IFERROR(VLOOKUP(IFERROR(LEFT(S312,4),""),Ref!$AF$2:$AG$5,2,0),"")</f>
        <v>36</v>
      </c>
      <c r="AB312" s="146"/>
      <c r="AC312" s="218" t="s">
        <v>167</v>
      </c>
      <c r="AD312" s="187" t="str">
        <f>IFERROR(VLOOKUP(AC312,'Training Matrix'!B$4:C$24,2,0),"")</f>
        <v>Bioscience Manager</v>
      </c>
      <c r="AE312" s="221">
        <v>45792</v>
      </c>
      <c r="AF312" s="188">
        <f t="shared" si="360"/>
        <v>46522</v>
      </c>
      <c r="AG312" s="189" t="str">
        <f t="shared" ca="1" si="361"/>
        <v>Current</v>
      </c>
      <c r="AH312" s="50" t="str">
        <f t="shared" ref="AH312" si="430">IF(OR(AC312="",AE312=""),"",CONCATENATE(AC312,"_",K310,"_",L310))</f>
        <v>Person 3_ALP.BSP.SOP.018_Specimen Preparation</v>
      </c>
    </row>
    <row r="313" spans="1:34" ht="30" x14ac:dyDescent="0.25">
      <c r="A313" s="5" t="str">
        <f>IF(LEFT(F313,15)='SOP template'!$B$1,1,"")</f>
        <v/>
      </c>
      <c r="B313" s="190" t="str">
        <f t="shared" si="425"/>
        <v>SOP.018.4</v>
      </c>
      <c r="C313" s="190" t="str">
        <f t="shared" si="428"/>
        <v>SOP.018.2.4</v>
      </c>
      <c r="D313" s="190" t="str">
        <f t="shared" si="429"/>
        <v>SOP.018.2</v>
      </c>
      <c r="E313" s="190">
        <f t="shared" si="352"/>
        <v>4</v>
      </c>
      <c r="F313" s="190" t="str">
        <f t="shared" si="426"/>
        <v>ALP.BSP.SOP.018.04</v>
      </c>
      <c r="G313" s="190" t="str">
        <f>IF(ISBLANK(N313),"",CONCATENATE(LEFT(F313,15),".",INDEX(Ref!A:A,MATCH(N313,Ref!$K$1:$K$333,0))))</f>
        <v>ALP.BSP.SOP.018.20</v>
      </c>
      <c r="H313" s="181"/>
      <c r="I313" s="183"/>
      <c r="J313" s="181"/>
      <c r="K313" s="181"/>
      <c r="L313" s="182"/>
      <c r="M313" s="182"/>
      <c r="N313" s="183" t="s">
        <v>133</v>
      </c>
      <c r="O313" s="182" t="s">
        <v>548</v>
      </c>
      <c r="P313" s="182" t="s">
        <v>549</v>
      </c>
      <c r="Q313" s="184" t="s">
        <v>89</v>
      </c>
      <c r="R313" s="184" t="s">
        <v>91</v>
      </c>
      <c r="S313" s="185" t="str">
        <f>IFERROR(CLEAN(INDEX('Risk Matrix'!$H$7:$L$11,MATCH($Q313,'Risk Matrix'!$F$7:$F$11,0),MATCH($R313,'Risk Matrix'!$H$6:$L$6,0))),"")</f>
        <v>Low 1</v>
      </c>
      <c r="T313" s="85"/>
      <c r="U313" s="182" t="s">
        <v>817</v>
      </c>
      <c r="V313" s="182"/>
      <c r="W313" s="182"/>
      <c r="X313" s="182" t="s">
        <v>877</v>
      </c>
      <c r="Y313" s="182" t="s">
        <v>878</v>
      </c>
      <c r="Z313" s="182" t="s">
        <v>650</v>
      </c>
      <c r="AA313" s="186">
        <f>IFERROR(VLOOKUP(IFERROR(LEFT(S313,4),""),Ref!$AF$2:$AG$5,2,0),"")</f>
        <v>36</v>
      </c>
      <c r="AB313" s="146"/>
      <c r="AC313" s="218" t="s">
        <v>168</v>
      </c>
      <c r="AD313" s="187" t="str">
        <f>IFERROR(VLOOKUP(AC313,'Training Matrix'!B$4:C$24,2,0),"")</f>
        <v>Collection Manager</v>
      </c>
      <c r="AE313" s="221">
        <v>45792</v>
      </c>
      <c r="AF313" s="188">
        <f t="shared" si="360"/>
        <v>46522</v>
      </c>
      <c r="AG313" s="189" t="str">
        <f t="shared" ca="1" si="361"/>
        <v>Current</v>
      </c>
      <c r="AH313" s="50" t="str">
        <f t="shared" ref="AH313" si="431">IF(OR(AC313="",AE313=""),"",CONCATENATE(AC313,"_",K310,"_",L310))</f>
        <v>Person 4_ALP.BSP.SOP.018_Specimen Preparation</v>
      </c>
    </row>
    <row r="314" spans="1:34" ht="45" x14ac:dyDescent="0.25">
      <c r="A314" s="5" t="str">
        <f>IF(LEFT(F314,15)='SOP template'!$B$1,1,"")</f>
        <v/>
      </c>
      <c r="B314" s="190" t="str">
        <f t="shared" si="425"/>
        <v>SOP.018.5</v>
      </c>
      <c r="C314" s="190" t="str">
        <f t="shared" si="428"/>
        <v>SOP.018.3</v>
      </c>
      <c r="D314" s="190" t="str">
        <f t="shared" si="429"/>
        <v>SOP.018.2.3</v>
      </c>
      <c r="E314" s="190">
        <f t="shared" si="352"/>
        <v>5</v>
      </c>
      <c r="F314" s="190" t="str">
        <f t="shared" si="426"/>
        <v>ALP.BSP.SOP.018.05</v>
      </c>
      <c r="G314" s="190" t="str">
        <f>IF(ISBLANK(N314),"",CONCATENATE(LEFT(F314,15),".",INDEX(Ref!A:A,MATCH(N314,Ref!$K$1:$K$333,0))))</f>
        <v/>
      </c>
      <c r="H314" s="181"/>
      <c r="I314" s="183"/>
      <c r="J314" s="181"/>
      <c r="K314" s="181"/>
      <c r="L314" s="182"/>
      <c r="M314" s="182"/>
      <c r="N314" s="183"/>
      <c r="O314" s="182" t="s">
        <v>413</v>
      </c>
      <c r="P314" s="182" t="s">
        <v>1005</v>
      </c>
      <c r="Q314" s="184" t="s">
        <v>92</v>
      </c>
      <c r="R314" s="184" t="s">
        <v>90</v>
      </c>
      <c r="S314" s="185" t="str">
        <f>IFERROR(CLEAN(INDEX('Risk Matrix'!$H$7:$L$11,MATCH($Q314,'Risk Matrix'!$F$7:$F$11,0),MATCH($R314,'Risk Matrix'!$H$6:$L$6,0))),"")</f>
        <v>Medium 2</v>
      </c>
      <c r="T314" s="85"/>
      <c r="U314" s="182" t="s">
        <v>495</v>
      </c>
      <c r="V314" s="182"/>
      <c r="W314" s="182"/>
      <c r="X314" s="182" t="s">
        <v>879</v>
      </c>
      <c r="Y314" s="182" t="s">
        <v>880</v>
      </c>
      <c r="Z314" s="182" t="s">
        <v>656</v>
      </c>
      <c r="AA314" s="186">
        <f>IFERROR(VLOOKUP(IFERROR(LEFT(S314,4),""),Ref!$AF$2:$AG$5,2,0),"")</f>
        <v>24</v>
      </c>
      <c r="AB314" s="146"/>
      <c r="AC314" s="218" t="s">
        <v>169</v>
      </c>
      <c r="AD314" s="187" t="str">
        <f>IFERROR(VLOOKUP(AC314,'Training Matrix'!B$4:C$24,2,0),"")</f>
        <v>Technician</v>
      </c>
      <c r="AE314" s="221">
        <v>45792</v>
      </c>
      <c r="AF314" s="188">
        <f t="shared" si="360"/>
        <v>46522</v>
      </c>
      <c r="AG314" s="189" t="str">
        <f t="shared" ca="1" si="361"/>
        <v>Current</v>
      </c>
      <c r="AH314" s="50" t="str">
        <f t="shared" ref="AH314" si="432">IF(OR(AC314="",AE314=""),"",CONCATENATE(AC314,"_",K310,"_",L310))</f>
        <v>Person 5_ALP.BSP.SOP.018_Specimen Preparation</v>
      </c>
    </row>
    <row r="315" spans="1:34" ht="45" x14ac:dyDescent="0.25">
      <c r="A315" s="5" t="str">
        <f>IF(LEFT(F315,15)='SOP template'!$B$1,1,"")</f>
        <v/>
      </c>
      <c r="B315" s="190" t="str">
        <f t="shared" si="425"/>
        <v>SOP.018.6</v>
      </c>
      <c r="C315" s="190" t="str">
        <f t="shared" si="428"/>
        <v>SOP.018.3.4</v>
      </c>
      <c r="D315" s="190" t="str">
        <f t="shared" si="429"/>
        <v>SOP.018.2.5</v>
      </c>
      <c r="E315" s="190">
        <f t="shared" si="352"/>
        <v>6</v>
      </c>
      <c r="F315" s="190" t="str">
        <f t="shared" si="426"/>
        <v>ALP.BSP.SOP.018.06</v>
      </c>
      <c r="G315" s="190" t="str">
        <f>IF(ISBLANK(N315),"",CONCATENATE(LEFT(F315,15),".",INDEX(Ref!A:A,MATCH(N315,Ref!$K$1:$K$333,0))))</f>
        <v/>
      </c>
      <c r="H315" s="181"/>
      <c r="I315" s="183"/>
      <c r="J315" s="181"/>
      <c r="K315" s="181"/>
      <c r="L315" s="182"/>
      <c r="M315" s="182"/>
      <c r="N315" s="183"/>
      <c r="O315" s="182"/>
      <c r="P315" s="182"/>
      <c r="Q315" s="184"/>
      <c r="R315" s="184"/>
      <c r="S315" s="185" t="str">
        <f>IFERROR(CLEAN(INDEX('Risk Matrix'!$H$7:$L$11,MATCH($Q315,'Risk Matrix'!$F$7:$F$11,0),MATCH($R315,'Risk Matrix'!$H$6:$L$6,0))),"")</f>
        <v/>
      </c>
      <c r="T315" s="85"/>
      <c r="U315" s="182"/>
      <c r="V315" s="182"/>
      <c r="W315" s="182"/>
      <c r="X315" s="182" t="s">
        <v>881</v>
      </c>
      <c r="Y315" s="182"/>
      <c r="Z315" s="182" t="s">
        <v>882</v>
      </c>
      <c r="AA315" s="186" t="str">
        <f>IFERROR(VLOOKUP(IFERROR(LEFT(S315,4),""),Ref!$AF$2:$AG$5,2,0),"")</f>
        <v/>
      </c>
      <c r="AB315" s="146"/>
      <c r="AC315" s="218" t="s">
        <v>170</v>
      </c>
      <c r="AD315" s="187" t="str">
        <f>IFERROR(VLOOKUP(AC315,'Training Matrix'!B$4:C$24,2,0),"")</f>
        <v>Scientist</v>
      </c>
      <c r="AE315" s="221">
        <v>45792</v>
      </c>
      <c r="AF315" s="188">
        <f t="shared" si="360"/>
        <v>46522</v>
      </c>
      <c r="AG315" s="189" t="str">
        <f t="shared" ca="1" si="361"/>
        <v>Current</v>
      </c>
      <c r="AH315" s="50" t="str">
        <f t="shared" ref="AH315" si="433">IF(OR(AC315="",AE315=""),"",CONCATENATE(AC315,"_",K310,"_",L310))</f>
        <v>Person 6_ALP.BSP.SOP.018_Specimen Preparation</v>
      </c>
    </row>
    <row r="316" spans="1:34" ht="45" x14ac:dyDescent="0.25">
      <c r="A316" s="5" t="str">
        <f>IF(LEFT(F316,15)='SOP template'!$B$1,1,"")</f>
        <v/>
      </c>
      <c r="B316" s="190" t="str">
        <f t="shared" si="425"/>
        <v>SOP.018.7</v>
      </c>
      <c r="C316" s="190" t="str">
        <f t="shared" si="428"/>
        <v>SOP.018.4</v>
      </c>
      <c r="D316" s="190" t="str">
        <f t="shared" si="429"/>
        <v>SOP.018.3</v>
      </c>
      <c r="E316" s="190">
        <f t="shared" si="352"/>
        <v>7</v>
      </c>
      <c r="F316" s="190" t="str">
        <f t="shared" si="426"/>
        <v>ALP.BSP.SOP.018.07</v>
      </c>
      <c r="G316" s="190" t="str">
        <f>IF(ISBLANK(N316),"",CONCATENATE(LEFT(F316,15),".",INDEX(Ref!A:A,MATCH(N316,Ref!$K$1:$K$333,0))))</f>
        <v/>
      </c>
      <c r="H316" s="181"/>
      <c r="I316" s="183"/>
      <c r="J316" s="181"/>
      <c r="K316" s="181"/>
      <c r="L316" s="182"/>
      <c r="M316" s="182"/>
      <c r="N316" s="183"/>
      <c r="O316" s="182"/>
      <c r="P316" s="182"/>
      <c r="Q316" s="184"/>
      <c r="R316" s="184"/>
      <c r="S316" s="185" t="str">
        <f>IFERROR(CLEAN(INDEX('Risk Matrix'!$H$7:$L$11,MATCH($Q316,'Risk Matrix'!$F$7:$F$11,0),MATCH($R316,'Risk Matrix'!$H$6:$L$6,0))),"")</f>
        <v/>
      </c>
      <c r="T316" s="85" t="str">
        <f>IF(LEFT($B316,7)=RIGHT('SOP template'!$B$1,7),_xlfn.NUMBERVALUE(RIGHT($S316,2)),"")</f>
        <v/>
      </c>
      <c r="U316" s="182"/>
      <c r="V316" s="182"/>
      <c r="W316" s="182"/>
      <c r="X316" s="182"/>
      <c r="Y316" s="182"/>
      <c r="Z316" s="182" t="s">
        <v>841</v>
      </c>
      <c r="AA316" s="186" t="str">
        <f>IFERROR(VLOOKUP(IFERROR(LEFT(S316,4),""),Ref!$AF$2:$AG$5,2,0),"")</f>
        <v/>
      </c>
      <c r="AB316" s="146"/>
      <c r="AC316" s="218"/>
      <c r="AD316" s="187" t="str">
        <f>IFERROR(VLOOKUP(AC316,'Training Matrix'!B$4:C$24,2,0),"")</f>
        <v/>
      </c>
      <c r="AE316" s="218"/>
      <c r="AF316" s="188" t="str">
        <f t="shared" si="360"/>
        <v/>
      </c>
      <c r="AG316" s="189" t="str">
        <f t="shared" ca="1" si="361"/>
        <v/>
      </c>
      <c r="AH316" s="50" t="str">
        <f t="shared" ref="AH316" si="434">IF(OR(AC316="",AE316=""),"",CONCATENATE(AC316,"_",K310,"_",L310))</f>
        <v/>
      </c>
    </row>
    <row r="317" spans="1:34" x14ac:dyDescent="0.25">
      <c r="A317" s="5" t="str">
        <f>IF(LEFT(F317,15)='SOP template'!$B$1,1,"")</f>
        <v/>
      </c>
      <c r="B317" s="190" t="str">
        <f t="shared" si="425"/>
        <v>SOP.018.8</v>
      </c>
      <c r="C317" s="190" t="str">
        <f t="shared" si="428"/>
        <v>SOP.018.4.4</v>
      </c>
      <c r="D317" s="190" t="str">
        <f t="shared" si="429"/>
        <v>SOP.018.3.3</v>
      </c>
      <c r="E317" s="190">
        <f t="shared" si="352"/>
        <v>8</v>
      </c>
      <c r="F317" s="190" t="str">
        <f t="shared" si="426"/>
        <v>ALP.BSP.SOP.018.08</v>
      </c>
      <c r="G317" s="190" t="str">
        <f>IF(ISBLANK(N317),"",CONCATENATE(LEFT(F317,15),".",INDEX(Ref!A:A,MATCH(N317,Ref!$K$1:$K$333,0))))</f>
        <v/>
      </c>
      <c r="H317" s="181"/>
      <c r="I317" s="183"/>
      <c r="J317" s="181"/>
      <c r="K317" s="181"/>
      <c r="L317" s="182"/>
      <c r="M317" s="182"/>
      <c r="N317" s="183"/>
      <c r="O317" s="182"/>
      <c r="P317" s="182"/>
      <c r="Q317" s="184"/>
      <c r="R317" s="184"/>
      <c r="S317" s="185" t="str">
        <f>IFERROR(CLEAN(INDEX('Risk Matrix'!$H$7:$L$11,MATCH($Q317,'Risk Matrix'!$F$7:$F$11,0),MATCH($R317,'Risk Matrix'!$H$6:$L$6,0))),"")</f>
        <v/>
      </c>
      <c r="T317" s="85" t="str">
        <f>IF(LEFT($B317,7)=RIGHT('SOP template'!$B$1,7),_xlfn.NUMBERVALUE(RIGHT($S317,2)),"")</f>
        <v/>
      </c>
      <c r="U317" s="182"/>
      <c r="V317" s="182"/>
      <c r="W317" s="182"/>
      <c r="X317" s="182"/>
      <c r="Y317" s="182"/>
      <c r="Z317" s="182"/>
      <c r="AA317" s="186" t="str">
        <f>IFERROR(VLOOKUP(IFERROR(LEFT(S317,4),""),Ref!$AF$2:$AG$5,2,0),"")</f>
        <v/>
      </c>
      <c r="AB317" s="146"/>
      <c r="AC317" s="218"/>
      <c r="AD317" s="187" t="str">
        <f>IFERROR(VLOOKUP(AC317,'Training Matrix'!B$4:C$24,2,0),"")</f>
        <v/>
      </c>
      <c r="AE317" s="218"/>
      <c r="AF317" s="188" t="str">
        <f t="shared" si="360"/>
        <v/>
      </c>
      <c r="AG317" s="189" t="str">
        <f t="shared" ca="1" si="361"/>
        <v/>
      </c>
      <c r="AH317" s="50" t="str">
        <f t="shared" ref="AH317" si="435">IF(OR(AC317="",AE317=""),"",CONCATENATE(AC317,"_",K310,"_",L310))</f>
        <v/>
      </c>
    </row>
    <row r="318" spans="1:34" x14ac:dyDescent="0.25">
      <c r="A318" s="5" t="str">
        <f>IF(LEFT(F318,15)='SOP template'!$B$1,1,"")</f>
        <v/>
      </c>
      <c r="B318" s="190" t="str">
        <f t="shared" si="425"/>
        <v>SOP.018.9</v>
      </c>
      <c r="C318" s="190" t="str">
        <f t="shared" si="428"/>
        <v>SOP.018.5</v>
      </c>
      <c r="D318" s="190" t="str">
        <f t="shared" si="429"/>
        <v>SOP.018.3.5</v>
      </c>
      <c r="E318" s="190">
        <f t="shared" si="352"/>
        <v>9</v>
      </c>
      <c r="F318" s="190" t="str">
        <f t="shared" si="426"/>
        <v>ALP.BSP.SOP.018.09</v>
      </c>
      <c r="G318" s="190" t="str">
        <f>IF(ISBLANK(N318),"",CONCATENATE(LEFT(F318,15),".",INDEX(Ref!A:A,MATCH(N318,Ref!$K$1:$K$333,0))))</f>
        <v/>
      </c>
      <c r="H318" s="181"/>
      <c r="I318" s="183"/>
      <c r="J318" s="181"/>
      <c r="K318" s="181"/>
      <c r="L318" s="182"/>
      <c r="M318" s="182"/>
      <c r="N318" s="183"/>
      <c r="O318" s="182"/>
      <c r="P318" s="182"/>
      <c r="Q318" s="184"/>
      <c r="R318" s="184"/>
      <c r="S318" s="185" t="str">
        <f>IFERROR(CLEAN(INDEX('Risk Matrix'!$H$7:$L$11,MATCH($Q318,'Risk Matrix'!$F$7:$F$11,0),MATCH($R318,'Risk Matrix'!$H$6:$L$6,0))),"")</f>
        <v/>
      </c>
      <c r="T318" s="85" t="str">
        <f>IF(LEFT($B318,7)=RIGHT('SOP template'!$B$1,7),_xlfn.NUMBERVALUE(RIGHT($S318,2)),"")</f>
        <v/>
      </c>
      <c r="U318" s="182"/>
      <c r="V318" s="182"/>
      <c r="W318" s="182"/>
      <c r="X318" s="182"/>
      <c r="Y318" s="182"/>
      <c r="Z318" s="182"/>
      <c r="AA318" s="186" t="str">
        <f>IFERROR(VLOOKUP(IFERROR(LEFT(S318,4),""),Ref!$AF$2:$AG$5,2,0),"")</f>
        <v/>
      </c>
      <c r="AB318" s="146"/>
      <c r="AC318" s="218"/>
      <c r="AD318" s="187" t="str">
        <f>IFERROR(VLOOKUP(AC318,'Training Matrix'!B$4:C$24,2,0),"")</f>
        <v/>
      </c>
      <c r="AE318" s="218"/>
      <c r="AF318" s="188" t="str">
        <f t="shared" si="360"/>
        <v/>
      </c>
      <c r="AG318" s="189" t="str">
        <f t="shared" ca="1" si="361"/>
        <v/>
      </c>
      <c r="AH318" s="50" t="str">
        <f t="shared" ref="AH318" si="436">IF(OR(AC318="",AE318=""),"",CONCATENATE(AC318,"_",K310,"_",L310))</f>
        <v/>
      </c>
    </row>
    <row r="319" spans="1:34" x14ac:dyDescent="0.25">
      <c r="A319" s="5" t="str">
        <f>IF(LEFT(F319,15)='SOP template'!$B$1,1,"")</f>
        <v/>
      </c>
      <c r="B319" s="190" t="str">
        <f t="shared" si="425"/>
        <v>SOP.018.10</v>
      </c>
      <c r="C319" s="190" t="str">
        <f t="shared" si="428"/>
        <v>SOP.018.5.4</v>
      </c>
      <c r="D319" s="190" t="str">
        <f t="shared" si="429"/>
        <v>SOP.018.4</v>
      </c>
      <c r="E319" s="190">
        <f t="shared" si="352"/>
        <v>10</v>
      </c>
      <c r="F319" s="190" t="str">
        <f t="shared" si="426"/>
        <v>ALP.BSP.SOP.018.10</v>
      </c>
      <c r="G319" s="190" t="str">
        <f>IF(ISBLANK(N319),"",CONCATENATE(LEFT(F319,15),".",INDEX(Ref!A:A,MATCH(N319,Ref!$K$1:$K$333,0))))</f>
        <v/>
      </c>
      <c r="H319" s="181"/>
      <c r="I319" s="183"/>
      <c r="J319" s="181"/>
      <c r="K319" s="181"/>
      <c r="L319" s="182"/>
      <c r="M319" s="182"/>
      <c r="N319" s="183"/>
      <c r="O319" s="182"/>
      <c r="P319" s="182"/>
      <c r="Q319" s="184"/>
      <c r="R319" s="184"/>
      <c r="S319" s="185" t="str">
        <f>IFERROR(CLEAN(INDEX('Risk Matrix'!$H$7:$L$11,MATCH($Q319,'Risk Matrix'!$F$7:$F$11,0),MATCH($R319,'Risk Matrix'!$H$6:$L$6,0))),"")</f>
        <v/>
      </c>
      <c r="T319" s="85" t="str">
        <f>IF(LEFT($B319,7)=RIGHT('SOP template'!$B$1,7),_xlfn.NUMBERVALUE(RIGHT($S319,2)),"")</f>
        <v/>
      </c>
      <c r="U319" s="182"/>
      <c r="V319" s="182"/>
      <c r="W319" s="182"/>
      <c r="X319" s="182"/>
      <c r="Y319" s="182"/>
      <c r="Z319" s="183"/>
      <c r="AA319" s="186" t="str">
        <f>IFERROR(VLOOKUP(IFERROR(LEFT(S319,4),""),Ref!$AF$2:$AG$5,2,0),"")</f>
        <v/>
      </c>
      <c r="AB319" s="146"/>
      <c r="AC319" s="218"/>
      <c r="AD319" s="187" t="str">
        <f>IFERROR(VLOOKUP(AC319,'Training Matrix'!B$4:C$24,2,0),"")</f>
        <v/>
      </c>
      <c r="AE319" s="218"/>
      <c r="AF319" s="188" t="str">
        <f t="shared" si="360"/>
        <v/>
      </c>
      <c r="AG319" s="189" t="str">
        <f t="shared" ca="1" si="361"/>
        <v/>
      </c>
      <c r="AH319" s="50" t="str">
        <f t="shared" ref="AH319" si="437">IF(OR(AC319="",AE319=""),"",CONCATENATE(AC319,"_",K310,"_",L310))</f>
        <v/>
      </c>
    </row>
    <row r="320" spans="1:34" x14ac:dyDescent="0.25">
      <c r="A320" s="5" t="str">
        <f>IF(LEFT(F320,15)='SOP template'!$B$1,1,"")</f>
        <v/>
      </c>
      <c r="B320" s="190" t="str">
        <f t="shared" ref="B320:B327" si="438">CONCATENATE(LEFT(B319,8),E320)</f>
        <v>SOP.018.11</v>
      </c>
      <c r="C320" s="190" t="str">
        <f t="shared" si="428"/>
        <v>SOP.018.6</v>
      </c>
      <c r="D320" s="190" t="str">
        <f t="shared" si="429"/>
        <v>SOP.018.4.3</v>
      </c>
      <c r="E320" s="190">
        <f t="shared" si="352"/>
        <v>11</v>
      </c>
      <c r="F320" s="190" t="str">
        <f t="shared" ref="F320:F327" si="439">IF(K320=0,LEFT(F319,16)&amp;TEXT(E320,"00"),K320&amp;"."&amp;TEXT(E320,"00"))</f>
        <v>ALP.BSP.SOP.018.11</v>
      </c>
      <c r="G320" s="190" t="str">
        <f>IF(ISBLANK(N320),"",CONCATENATE(LEFT(F320,15),".",INDEX(Ref!A:A,MATCH(N320,Ref!$K$1:$K$333,0))))</f>
        <v/>
      </c>
      <c r="H320" s="181"/>
      <c r="I320" s="183"/>
      <c r="J320" s="181"/>
      <c r="K320" s="181"/>
      <c r="L320" s="182"/>
      <c r="M320" s="182"/>
      <c r="N320" s="183"/>
      <c r="O320" s="182"/>
      <c r="P320" s="182"/>
      <c r="Q320" s="184"/>
      <c r="R320" s="184"/>
      <c r="S320" s="185" t="str">
        <f>IFERROR(CLEAN(INDEX('Risk Matrix'!$H$7:$L$11,MATCH($Q320,'Risk Matrix'!$F$7:$F$11,0),MATCH($R320,'Risk Matrix'!$H$6:$L$6,0))),"")</f>
        <v/>
      </c>
      <c r="T320" s="85" t="str">
        <f>IF(LEFT($B320,7)=RIGHT('SOP template'!$B$1,7),_xlfn.NUMBERVALUE(RIGHT($S320,2)),"")</f>
        <v/>
      </c>
      <c r="U320" s="182"/>
      <c r="V320" s="182"/>
      <c r="W320" s="182"/>
      <c r="X320" s="182"/>
      <c r="Y320" s="182"/>
      <c r="Z320" s="183"/>
      <c r="AA320" s="186" t="str">
        <f>IFERROR(VLOOKUP(IFERROR(LEFT(S320,4),""),Ref!$AF$2:$AG$5,2,0),"")</f>
        <v/>
      </c>
      <c r="AB320" s="146"/>
      <c r="AC320" s="218"/>
      <c r="AD320" s="187" t="str">
        <f>IFERROR(VLOOKUP(AC320,'Training Matrix'!B$4:C$24,2,0),"")</f>
        <v/>
      </c>
      <c r="AE320" s="218"/>
      <c r="AF320" s="188" t="str">
        <f t="shared" si="360"/>
        <v/>
      </c>
      <c r="AG320" s="189" t="str">
        <f t="shared" ca="1" si="361"/>
        <v/>
      </c>
      <c r="AH320" s="50" t="str">
        <f t="shared" ref="AH320" si="440">IF(OR(AC320="",AE320=""),"",CONCATENATE(AC320,"_",K310,"_",L310))</f>
        <v/>
      </c>
    </row>
    <row r="321" spans="1:34" x14ac:dyDescent="0.25">
      <c r="A321" s="5" t="str">
        <f>IF(LEFT(F321,15)='SOP template'!$B$1,1,"")</f>
        <v/>
      </c>
      <c r="B321" s="190" t="str">
        <f t="shared" si="438"/>
        <v>SOP.018.12</v>
      </c>
      <c r="C321" s="190" t="str">
        <f t="shared" si="428"/>
        <v>SOP.018.6.4</v>
      </c>
      <c r="D321" s="190" t="str">
        <f t="shared" si="429"/>
        <v>SOP.018.4.5</v>
      </c>
      <c r="E321" s="190">
        <f t="shared" si="352"/>
        <v>12</v>
      </c>
      <c r="F321" s="190" t="str">
        <f t="shared" si="439"/>
        <v>ALP.BSP.SOP.018.12</v>
      </c>
      <c r="G321" s="190" t="str">
        <f>IF(ISBLANK(N321),"",CONCATENATE(LEFT(F321,15),".",INDEX(Ref!A:A,MATCH(N321,Ref!$K$1:$K$333,0))))</f>
        <v/>
      </c>
      <c r="H321" s="181"/>
      <c r="I321" s="183"/>
      <c r="J321" s="181"/>
      <c r="K321" s="181"/>
      <c r="L321" s="182"/>
      <c r="M321" s="182"/>
      <c r="N321" s="183"/>
      <c r="O321" s="182"/>
      <c r="P321" s="182"/>
      <c r="Q321" s="184"/>
      <c r="R321" s="184"/>
      <c r="S321" s="185" t="str">
        <f>IFERROR(CLEAN(INDEX('Risk Matrix'!$H$7:$L$11,MATCH($Q321,'Risk Matrix'!$F$7:$F$11,0),MATCH($R321,'Risk Matrix'!$H$6:$L$6,0))),"")</f>
        <v/>
      </c>
      <c r="T321" s="85" t="str">
        <f>IF(LEFT($B321,7)=RIGHT('SOP template'!$B$1,7),_xlfn.NUMBERVALUE(RIGHT($S321,2)),"")</f>
        <v/>
      </c>
      <c r="U321" s="182"/>
      <c r="V321" s="182"/>
      <c r="W321" s="182"/>
      <c r="X321" s="182"/>
      <c r="Y321" s="182"/>
      <c r="Z321" s="183"/>
      <c r="AA321" s="186" t="str">
        <f>IFERROR(VLOOKUP(IFERROR(LEFT(S321,4),""),Ref!$AF$2:$AG$5,2,0),"")</f>
        <v/>
      </c>
      <c r="AB321" s="146"/>
      <c r="AC321" s="218"/>
      <c r="AD321" s="187" t="str">
        <f>IFERROR(VLOOKUP(AC321,'Training Matrix'!B$4:C$24,2,0),"")</f>
        <v/>
      </c>
      <c r="AE321" s="218"/>
      <c r="AF321" s="188" t="str">
        <f t="shared" si="360"/>
        <v/>
      </c>
      <c r="AG321" s="189" t="str">
        <f t="shared" ca="1" si="361"/>
        <v/>
      </c>
      <c r="AH321" s="50" t="str">
        <f t="shared" ref="AH321" si="441">IF(OR(AC321="",AE321=""),"",CONCATENATE(AC321,"_",K310,"_",L310))</f>
        <v/>
      </c>
    </row>
    <row r="322" spans="1:34" x14ac:dyDescent="0.25">
      <c r="A322" s="5" t="str">
        <f>IF(LEFT(F322,15)='SOP template'!$B$1,1,"")</f>
        <v/>
      </c>
      <c r="B322" s="190" t="str">
        <f t="shared" si="438"/>
        <v>SOP.018.13</v>
      </c>
      <c r="C322" s="190" t="str">
        <f t="shared" si="428"/>
        <v>SOP.018.</v>
      </c>
      <c r="D322" s="190" t="str">
        <f t="shared" si="429"/>
        <v>SOP.018.</v>
      </c>
      <c r="E322" s="190">
        <f t="shared" si="352"/>
        <v>13</v>
      </c>
      <c r="F322" s="190" t="str">
        <f t="shared" si="439"/>
        <v>ALP.BSP.SOP.018.13</v>
      </c>
      <c r="G322" s="190" t="str">
        <f>IF(ISBLANK(N322),"",CONCATENATE(LEFT(F322,15),".",INDEX(Ref!A:A,MATCH(N322,Ref!$K$1:$K$333,0))))</f>
        <v/>
      </c>
      <c r="H322" s="181"/>
      <c r="I322" s="183"/>
      <c r="J322" s="181"/>
      <c r="K322" s="181"/>
      <c r="L322" s="182"/>
      <c r="M322" s="182"/>
      <c r="N322" s="183"/>
      <c r="O322" s="182"/>
      <c r="P322" s="182"/>
      <c r="Q322" s="184"/>
      <c r="R322" s="184"/>
      <c r="S322" s="185" t="str">
        <f>IFERROR(CLEAN(INDEX('Risk Matrix'!$H$7:$L$11,MATCH($Q322,'Risk Matrix'!$F$7:$F$11,0),MATCH($R322,'Risk Matrix'!$H$6:$L$6,0))),"")</f>
        <v/>
      </c>
      <c r="T322" s="85" t="str">
        <f>IF(LEFT($B322,7)=RIGHT('SOP template'!$B$1,7),_xlfn.NUMBERVALUE(RIGHT($S322,2)),"")</f>
        <v/>
      </c>
      <c r="U322" s="182"/>
      <c r="V322" s="182"/>
      <c r="W322" s="182"/>
      <c r="X322" s="182"/>
      <c r="Y322" s="182"/>
      <c r="Z322" s="183"/>
      <c r="AA322" s="186" t="str">
        <f>IFERROR(VLOOKUP(IFERROR(LEFT(S322,4),""),Ref!$AF$2:$AG$5,2,0),"")</f>
        <v/>
      </c>
      <c r="AB322" s="146"/>
      <c r="AC322" s="218"/>
      <c r="AD322" s="187" t="str">
        <f>IFERROR(VLOOKUP(AC322,'Training Matrix'!B$4:C$24,2,0),"")</f>
        <v/>
      </c>
      <c r="AE322" s="218"/>
      <c r="AF322" s="188" t="str">
        <f t="shared" si="360"/>
        <v/>
      </c>
      <c r="AG322" s="189" t="str">
        <f t="shared" ca="1" si="361"/>
        <v/>
      </c>
      <c r="AH322" s="50" t="str">
        <f t="shared" ref="AH322" si="442">IF(OR(AC322="",AE322=""),"",CONCATENATE(AC322,"_",K310,"_",L310))</f>
        <v/>
      </c>
    </row>
    <row r="323" spans="1:34" x14ac:dyDescent="0.25">
      <c r="A323" s="5" t="str">
        <f>IF(LEFT(F323,15)='SOP template'!$B$1,1,"")</f>
        <v/>
      </c>
      <c r="B323" s="190" t="str">
        <f t="shared" si="438"/>
        <v>SOP.018.14</v>
      </c>
      <c r="C323" s="190" t="str">
        <f t="shared" si="428"/>
        <v>SOP.018.</v>
      </c>
      <c r="D323" s="190" t="str">
        <f t="shared" si="429"/>
        <v>SOP.018.</v>
      </c>
      <c r="E323" s="190">
        <f t="shared" si="352"/>
        <v>14</v>
      </c>
      <c r="F323" s="190" t="str">
        <f t="shared" si="439"/>
        <v>ALP.BSP.SOP.018.14</v>
      </c>
      <c r="G323" s="190" t="str">
        <f>IF(ISBLANK(N323),"",CONCATENATE(LEFT(F323,15),".",INDEX(Ref!A:A,MATCH(N323,Ref!$K$1:$K$333,0))))</f>
        <v/>
      </c>
      <c r="H323" s="181"/>
      <c r="I323" s="183"/>
      <c r="J323" s="181"/>
      <c r="K323" s="181"/>
      <c r="L323" s="182"/>
      <c r="M323" s="182"/>
      <c r="N323" s="183"/>
      <c r="O323" s="182"/>
      <c r="P323" s="182"/>
      <c r="Q323" s="184"/>
      <c r="R323" s="184"/>
      <c r="S323" s="185" t="str">
        <f>IFERROR(CLEAN(INDEX('Risk Matrix'!$H$7:$L$11,MATCH($Q323,'Risk Matrix'!$F$7:$F$11,0),MATCH($R323,'Risk Matrix'!$H$6:$L$6,0))),"")</f>
        <v/>
      </c>
      <c r="T323" s="85" t="str">
        <f>IF(LEFT($B323,7)=RIGHT('SOP template'!$B$1,7),_xlfn.NUMBERVALUE(RIGHT($S323,2)),"")</f>
        <v/>
      </c>
      <c r="U323" s="182"/>
      <c r="V323" s="182"/>
      <c r="W323" s="182"/>
      <c r="X323" s="182"/>
      <c r="Y323" s="182"/>
      <c r="Z323" s="183"/>
      <c r="AA323" s="186" t="str">
        <f>IFERROR(VLOOKUP(IFERROR(LEFT(S323,4),""),Ref!$AF$2:$AG$5,2,0),"")</f>
        <v/>
      </c>
      <c r="AB323" s="146"/>
      <c r="AC323" s="218"/>
      <c r="AD323" s="187" t="str">
        <f>IFERROR(VLOOKUP(AC323,'Training Matrix'!B$4:C$24,2,0),"")</f>
        <v/>
      </c>
      <c r="AE323" s="218"/>
      <c r="AF323" s="188" t="str">
        <f t="shared" si="360"/>
        <v/>
      </c>
      <c r="AG323" s="189" t="str">
        <f t="shared" ca="1" si="361"/>
        <v/>
      </c>
      <c r="AH323" s="50" t="str">
        <f t="shared" ref="AH323" si="443">IF(OR(AC323="",AE323=""),"",CONCATENATE(AC323,"_",K310,"_",L310))</f>
        <v/>
      </c>
    </row>
    <row r="324" spans="1:34" x14ac:dyDescent="0.25">
      <c r="A324" s="5" t="str">
        <f>IF(LEFT(F324,15)='SOP template'!$B$1,1,"")</f>
        <v/>
      </c>
      <c r="B324" s="190" t="str">
        <f t="shared" si="438"/>
        <v>SOP.018.15</v>
      </c>
      <c r="C324" s="190" t="str">
        <f t="shared" si="428"/>
        <v>SOP.018.</v>
      </c>
      <c r="D324" s="190" t="str">
        <f t="shared" si="429"/>
        <v>SOP.018.</v>
      </c>
      <c r="E324" s="190">
        <f t="shared" si="352"/>
        <v>15</v>
      </c>
      <c r="F324" s="190" t="str">
        <f t="shared" si="439"/>
        <v>ALP.BSP.SOP.018.15</v>
      </c>
      <c r="G324" s="190" t="str">
        <f>IF(ISBLANK(N324),"",CONCATENATE(LEFT(F324,15),".",INDEX(Ref!A:A,MATCH(N324,Ref!$K$1:$K$333,0))))</f>
        <v/>
      </c>
      <c r="H324" s="181"/>
      <c r="I324" s="183"/>
      <c r="J324" s="181"/>
      <c r="K324" s="181"/>
      <c r="L324" s="182"/>
      <c r="M324" s="182"/>
      <c r="N324" s="183"/>
      <c r="O324" s="182"/>
      <c r="P324" s="182"/>
      <c r="Q324" s="184"/>
      <c r="R324" s="184"/>
      <c r="S324" s="185" t="str">
        <f>IFERROR(CLEAN(INDEX('Risk Matrix'!$H$7:$L$11,MATCH($Q324,'Risk Matrix'!$F$7:$F$11,0),MATCH($R324,'Risk Matrix'!$H$6:$L$6,0))),"")</f>
        <v/>
      </c>
      <c r="T324" s="85" t="str">
        <f>IF(LEFT($B324,7)=RIGHT('SOP template'!$B$1,7),_xlfn.NUMBERVALUE(RIGHT($S324,2)),"")</f>
        <v/>
      </c>
      <c r="U324" s="182"/>
      <c r="V324" s="182"/>
      <c r="W324" s="182"/>
      <c r="X324" s="182"/>
      <c r="Y324" s="182"/>
      <c r="Z324" s="183"/>
      <c r="AA324" s="186" t="str">
        <f>IFERROR(VLOOKUP(IFERROR(LEFT(S324,4),""),Ref!$AF$2:$AG$5,2,0),"")</f>
        <v/>
      </c>
      <c r="AB324" s="146"/>
      <c r="AC324" s="218"/>
      <c r="AD324" s="187" t="str">
        <f>IFERROR(VLOOKUP(AC324,'Training Matrix'!B$4:C$24,2,0),"")</f>
        <v/>
      </c>
      <c r="AE324" s="218"/>
      <c r="AF324" s="188" t="str">
        <f t="shared" si="360"/>
        <v/>
      </c>
      <c r="AG324" s="189" t="str">
        <f t="shared" ca="1" si="361"/>
        <v/>
      </c>
      <c r="AH324" s="50" t="str">
        <f t="shared" ref="AH324" si="444">IF(OR(AC324="",AE324=""),"",CONCATENATE(AC324,"_",K310,"_",L310))</f>
        <v/>
      </c>
    </row>
    <row r="325" spans="1:34" x14ac:dyDescent="0.25">
      <c r="A325" s="5" t="str">
        <f>IF(LEFT(F325,15)='SOP template'!$B$1,1,"")</f>
        <v/>
      </c>
      <c r="B325" s="190" t="str">
        <f t="shared" si="438"/>
        <v>SOP.018.16</v>
      </c>
      <c r="C325" s="190" t="str">
        <f t="shared" si="428"/>
        <v>SOP.018.</v>
      </c>
      <c r="D325" s="190" t="str">
        <f t="shared" si="429"/>
        <v>SOP.018.</v>
      </c>
      <c r="E325" s="190">
        <f t="shared" ref="E325:E388" si="445">IF(ISBLANK($K325),$E324+1,1)</f>
        <v>16</v>
      </c>
      <c r="F325" s="190" t="str">
        <f t="shared" si="439"/>
        <v>ALP.BSP.SOP.018.16</v>
      </c>
      <c r="G325" s="190" t="str">
        <f>IF(ISBLANK(N325),"",CONCATENATE(LEFT(F325,15),".",INDEX(Ref!A:A,MATCH(N325,Ref!$K$1:$K$333,0))))</f>
        <v/>
      </c>
      <c r="H325" s="181"/>
      <c r="I325" s="183"/>
      <c r="J325" s="181"/>
      <c r="K325" s="181"/>
      <c r="L325" s="182"/>
      <c r="M325" s="182"/>
      <c r="N325" s="183"/>
      <c r="O325" s="182"/>
      <c r="P325" s="182"/>
      <c r="Q325" s="184"/>
      <c r="R325" s="184"/>
      <c r="S325" s="185" t="str">
        <f>IFERROR(CLEAN(INDEX('Risk Matrix'!$H$7:$L$11,MATCH($Q325,'Risk Matrix'!$F$7:$F$11,0),MATCH($R325,'Risk Matrix'!$H$6:$L$6,0))),"")</f>
        <v/>
      </c>
      <c r="T325" s="85" t="str">
        <f>IF(LEFT($B325,7)=RIGHT('SOP template'!$B$1,7),_xlfn.NUMBERVALUE(RIGHT($S325,2)),"")</f>
        <v/>
      </c>
      <c r="U325" s="182"/>
      <c r="V325" s="182"/>
      <c r="W325" s="182"/>
      <c r="X325" s="182"/>
      <c r="Y325" s="182"/>
      <c r="Z325" s="183"/>
      <c r="AA325" s="186" t="str">
        <f>IFERROR(VLOOKUP(IFERROR(LEFT(S325,4),""),Ref!$AF$2:$AG$5,2,0),"")</f>
        <v/>
      </c>
      <c r="AB325" s="146"/>
      <c r="AC325" s="218"/>
      <c r="AD325" s="187" t="str">
        <f>IFERROR(VLOOKUP(AC325,'Training Matrix'!B$4:C$24,2,0),"")</f>
        <v/>
      </c>
      <c r="AE325" s="218"/>
      <c r="AF325" s="188" t="str">
        <f t="shared" si="360"/>
        <v/>
      </c>
      <c r="AG325" s="189" t="str">
        <f t="shared" ca="1" si="361"/>
        <v/>
      </c>
      <c r="AH325" s="50" t="str">
        <f t="shared" ref="AH325" si="446">IF(OR(AC325="",AE325=""),"",CONCATENATE(AC325,"_",K310,"_",L310))</f>
        <v/>
      </c>
    </row>
    <row r="326" spans="1:34" x14ac:dyDescent="0.25">
      <c r="A326" s="5" t="str">
        <f>IF(LEFT(F326,15)='SOP template'!$B$1,1,"")</f>
        <v/>
      </c>
      <c r="B326" s="190" t="str">
        <f t="shared" si="438"/>
        <v>SOP.018.17</v>
      </c>
      <c r="C326" s="190" t="str">
        <f t="shared" si="428"/>
        <v>SOP.018.</v>
      </c>
      <c r="D326" s="190" t="str">
        <f t="shared" si="429"/>
        <v>SOP.018.</v>
      </c>
      <c r="E326" s="190">
        <f t="shared" si="445"/>
        <v>17</v>
      </c>
      <c r="F326" s="190" t="str">
        <f t="shared" si="439"/>
        <v>ALP.BSP.SOP.018.17</v>
      </c>
      <c r="G326" s="190" t="str">
        <f>IF(ISBLANK(N326),"",CONCATENATE(LEFT(F326,15),".",INDEX(Ref!A:A,MATCH(N326,Ref!$K$1:$K$333,0))))</f>
        <v/>
      </c>
      <c r="H326" s="181"/>
      <c r="I326" s="183"/>
      <c r="J326" s="181"/>
      <c r="K326" s="181"/>
      <c r="L326" s="182"/>
      <c r="M326" s="182"/>
      <c r="N326" s="183"/>
      <c r="O326" s="182"/>
      <c r="P326" s="182"/>
      <c r="Q326" s="184"/>
      <c r="R326" s="184"/>
      <c r="S326" s="185" t="str">
        <f>IFERROR(CLEAN(INDEX('Risk Matrix'!$H$7:$L$11,MATCH($Q326,'Risk Matrix'!$F$7:$F$11,0),MATCH($R326,'Risk Matrix'!$H$6:$L$6,0))),"")</f>
        <v/>
      </c>
      <c r="T326" s="85" t="str">
        <f>IF(LEFT($B326,7)=RIGHT('SOP template'!$B$1,7),_xlfn.NUMBERVALUE(RIGHT($S326,2)),"")</f>
        <v/>
      </c>
      <c r="U326" s="182"/>
      <c r="V326" s="182"/>
      <c r="W326" s="182"/>
      <c r="X326" s="182"/>
      <c r="Y326" s="182"/>
      <c r="Z326" s="183"/>
      <c r="AA326" s="186" t="str">
        <f>IFERROR(VLOOKUP(IFERROR(LEFT(S326,4),""),Ref!$AF$2:$AG$5,2,0),"")</f>
        <v/>
      </c>
      <c r="AB326" s="146"/>
      <c r="AC326" s="218"/>
      <c r="AD326" s="187" t="str">
        <f>IFERROR(VLOOKUP(AC326,'Training Matrix'!B$4:C$24,2,0),"")</f>
        <v/>
      </c>
      <c r="AE326" s="218"/>
      <c r="AF326" s="188" t="str">
        <f t="shared" si="360"/>
        <v/>
      </c>
      <c r="AG326" s="189" t="str">
        <f t="shared" ca="1" si="361"/>
        <v/>
      </c>
      <c r="AH326" s="50" t="str">
        <f t="shared" ref="AH326" si="447">IF(OR(AC326="",AE326=""),"",CONCATENATE(AC326,"_",K310,"_",L310))</f>
        <v/>
      </c>
    </row>
    <row r="327" spans="1:34" x14ac:dyDescent="0.25">
      <c r="A327" s="5" t="str">
        <f>IF(LEFT(F327,15)='SOP template'!$B$1,1,"")</f>
        <v/>
      </c>
      <c r="B327" s="190" t="str">
        <f t="shared" si="438"/>
        <v>SOP.018.18</v>
      </c>
      <c r="C327" s="190" t="str">
        <f t="shared" si="428"/>
        <v>SOP.018.</v>
      </c>
      <c r="D327" s="190" t="str">
        <f t="shared" si="429"/>
        <v>SOP.018.</v>
      </c>
      <c r="E327" s="190">
        <f t="shared" si="445"/>
        <v>18</v>
      </c>
      <c r="F327" s="190" t="str">
        <f t="shared" si="439"/>
        <v>ALP.BSP.SOP.018.18</v>
      </c>
      <c r="G327" s="190" t="str">
        <f>IF(ISBLANK(N327),"",CONCATENATE(LEFT(F327,15),".",INDEX(Ref!A:A,MATCH(N327,Ref!$K$1:$K$333,0))))</f>
        <v/>
      </c>
      <c r="H327" s="181"/>
      <c r="I327" s="183"/>
      <c r="J327" s="181"/>
      <c r="K327" s="181"/>
      <c r="L327" s="182"/>
      <c r="M327" s="182"/>
      <c r="N327" s="183"/>
      <c r="O327" s="182"/>
      <c r="P327" s="182"/>
      <c r="Q327" s="184"/>
      <c r="R327" s="184"/>
      <c r="S327" s="185" t="str">
        <f>IFERROR(CLEAN(INDEX('Risk Matrix'!$H$7:$L$11,MATCH($Q327,'Risk Matrix'!$F$7:$F$11,0),MATCH($R327,'Risk Matrix'!$H$6:$L$6,0))),"")</f>
        <v/>
      </c>
      <c r="T327" s="85" t="str">
        <f>IF(LEFT($B327,7)=RIGHT('SOP template'!$B$1,7),_xlfn.NUMBERVALUE(RIGHT($S327,2)),"")</f>
        <v/>
      </c>
      <c r="U327" s="182"/>
      <c r="V327" s="182"/>
      <c r="W327" s="182"/>
      <c r="X327" s="182"/>
      <c r="Y327" s="182"/>
      <c r="Z327" s="183"/>
      <c r="AA327" s="186" t="str">
        <f>IFERROR(VLOOKUP(IFERROR(LEFT(S327,4),""),Ref!$AF$2:$AG$5,2,0),"")</f>
        <v/>
      </c>
      <c r="AB327" s="146"/>
      <c r="AC327" s="218"/>
      <c r="AD327" s="187" t="str">
        <f>IFERROR(VLOOKUP(AC327,'Training Matrix'!B$4:C$24,2,0),"")</f>
        <v/>
      </c>
      <c r="AE327" s="218"/>
      <c r="AF327" s="188" t="str">
        <f t="shared" si="360"/>
        <v/>
      </c>
      <c r="AG327" s="189" t="str">
        <f t="shared" ca="1" si="361"/>
        <v/>
      </c>
      <c r="AH327" s="50" t="str">
        <f t="shared" ref="AH327" si="448">IF(OR(AC327="",AE327=""),"",CONCATENATE(AC327,"_",K310,"_",L310))</f>
        <v/>
      </c>
    </row>
    <row r="328" spans="1:34" ht="75" x14ac:dyDescent="0.25">
      <c r="A328" s="5" t="str">
        <f>IF(LEFT(F328,15)='SOP template'!$B$1,1,"")</f>
        <v/>
      </c>
      <c r="B328" s="179" t="str">
        <f t="shared" ref="B328" si="449">IF(ISBLANK($K328),CONCATENATE($B$2,".",TEXT(J328,"000"),".",$E328),CONCATENATE(RIGHT($K328,7),".1"))</f>
        <v>SOP.019.1</v>
      </c>
      <c r="C328" s="179" t="str">
        <f>IF(ISBLANK($K328),CONCATENATE(LEFT(#REF!,8),IF($E328=1,1.1,IF($E328=2,1.4,IF($E328=3,2,IF($E328=4,2.4,IF($E328=5,3,IF($E328=6,3.4,IF($E328=7,4,IF($E328=8,4.4,IF($E328=9,5,IF($E328=10,5.4,IF($E328=11,6,IF($E328=12,6.4,""))))))))))))),CONCATENATE(RIGHT($K328,7),".1"))</f>
        <v>SOP.019.1</v>
      </c>
      <c r="D328" s="179" t="str">
        <f>IF(ISBLANK($K328),CONCATENATE(LEFT(#REF!,8),IF($E328=1,1,IF($E328=2,1.3,IF($E328=3,1.5,IF($E328=4,2,IF($E328=5,2.3,IF($E328=6,2.5,IF($E328=7,3,IF($E328=8,3.3,IF($E328=9,3.5,IF($E328=10,4,IF($E328=11,4.3,IF($E328=12,4.5,""))))))))))))),CONCATENATE(RIGHT($K328,7),".1"))</f>
        <v>SOP.019.1</v>
      </c>
      <c r="E328" s="179">
        <f t="shared" si="445"/>
        <v>1</v>
      </c>
      <c r="F328" s="179" t="str">
        <f t="shared" ref="F328" si="450">K328&amp;"."&amp;TEXT(E328,"00")</f>
        <v>ALP.BSP.SOP.019.01</v>
      </c>
      <c r="G328" s="179" t="str">
        <f>IF(ISBLANK(N328),"",CONCATENATE(LEFT(F328,15),".",INDEX(Ref!A:A,MATCH(N328,Ref!$K$1:$K$333,0))))</f>
        <v>ALP.BSP.SOP.019.1</v>
      </c>
      <c r="H328" s="217" t="s">
        <v>394</v>
      </c>
      <c r="I328" s="217" t="s">
        <v>275</v>
      </c>
      <c r="J328" s="180">
        <v>19</v>
      </c>
      <c r="K328" s="181" t="str">
        <f>IFERROR(CONCATENATE(INDEX(Ref!$Z$2:$Z$8,MATCH(H328,Ref!$AA$2:$AA$8,0)),".",I328,".SOP.",TEXT(J328,"000")),CONCATENATE(H328,".",I328,".SOP.",TEXT(J328,"000")))</f>
        <v>ALP.BSP.SOP.019</v>
      </c>
      <c r="L328" s="191" t="s">
        <v>1006</v>
      </c>
      <c r="M328" s="182" t="s">
        <v>1007</v>
      </c>
      <c r="N328" s="183" t="s">
        <v>117</v>
      </c>
      <c r="O328" s="182" t="s">
        <v>411</v>
      </c>
      <c r="P328" s="182" t="s">
        <v>636</v>
      </c>
      <c r="Q328" s="184" t="s">
        <v>89</v>
      </c>
      <c r="R328" s="184" t="s">
        <v>90</v>
      </c>
      <c r="S328" s="185" t="str">
        <f>IFERROR(CLEAN(INDEX('Risk Matrix'!$H$7:$L$11,MATCH($Q328,'Risk Matrix'!$F$7:$F$11,0),MATCH($R328,'Risk Matrix'!$H$6:$L$6,0))),"")</f>
        <v>Medium 2</v>
      </c>
      <c r="T328" s="85" t="str">
        <f>IF(LEFT($B328,7)=RIGHT('SOP template'!$B$1,7),_xlfn.NUMBERVALUE(RIGHT($S328,2)),"")</f>
        <v/>
      </c>
      <c r="U328" s="182" t="s">
        <v>883</v>
      </c>
      <c r="V328" s="182" t="s">
        <v>884</v>
      </c>
      <c r="W328" s="182" t="s">
        <v>885</v>
      </c>
      <c r="X328" s="182" t="s">
        <v>808</v>
      </c>
      <c r="Y328" s="182" t="s">
        <v>886</v>
      </c>
      <c r="Z328" s="182" t="s">
        <v>650</v>
      </c>
      <c r="AA328" s="186">
        <f>IFERROR(VLOOKUP(IFERROR(LEFT(S328,4),""),Ref!$AF$2:$AG$5,2,0),"")</f>
        <v>24</v>
      </c>
      <c r="AB328" s="186">
        <f>MIN($AA328:$AA345)</f>
        <v>24</v>
      </c>
      <c r="AC328" s="218" t="s">
        <v>289</v>
      </c>
      <c r="AD328" s="187" t="str">
        <f>IFERROR(VLOOKUP(AC328,'Training Matrix'!B$4:C$24,2,0),"")</f>
        <v>Dock Manager</v>
      </c>
      <c r="AE328" s="221">
        <v>45792</v>
      </c>
      <c r="AF328" s="188">
        <f t="shared" si="360"/>
        <v>46522</v>
      </c>
      <c r="AG328" s="189" t="str">
        <f t="shared" ca="1" si="361"/>
        <v>Current</v>
      </c>
      <c r="AH328" s="50" t="str">
        <f t="shared" ref="AH328" si="451">IF(OR(AC328="",AE328=""),"",CONCATENATE(AC328,"_",K328,"_",L328))</f>
        <v>Person 1_ALP.BSP.SOP.019_Decontamination</v>
      </c>
    </row>
    <row r="329" spans="1:34" ht="45" x14ac:dyDescent="0.25">
      <c r="A329" s="5" t="str">
        <f>IF(LEFT(F329,15)='SOP template'!$B$1,1,"")</f>
        <v/>
      </c>
      <c r="B329" s="190" t="str">
        <f t="shared" ref="B329:B337" si="452">CONCATENATE(LEFT(B328,8),E329)</f>
        <v>SOP.019.2</v>
      </c>
      <c r="C329" s="190" t="str">
        <f>IF(ISBLANK($K329),CONCATENATE(LEFT($B328,8),IF($E329=1,1.1,IF($E329=2,1.4,IF($E329=3,2,IF($E329=4,2.4,IF($E329=5,3,IF($E329=6,3.4,IF($E329=7,4,IF($E329=8,4.4,IF($E329=9,5,IF($E329=10,5.4,IF($E329=11,6,IF($E329=12,6.4,""))))))))))))),CONCATENATE(RIGHT($K329,7),".1"))</f>
        <v>SOP.019.1.4</v>
      </c>
      <c r="D329" s="190" t="str">
        <f>IF(ISBLANK($K329),CONCATENATE(LEFT($B328,8),IF($E329=1,1,IF($E329=2,1.3,IF($E329=3,1.5,IF($E329=4,2,IF($E329=5,2.3,IF($E329=6,2.5,IF($E329=7,3,IF($E329=8,3.3,IF($E329=9,3.5,IF($E329=10,4,IF($E329=11,4.3,IF($E329=12,4.5,""))))))))))))),CONCATENATE(RIGHT($K329,7),".1"))</f>
        <v>SOP.019.1.3</v>
      </c>
      <c r="E329" s="190">
        <f t="shared" si="445"/>
        <v>2</v>
      </c>
      <c r="F329" s="190" t="str">
        <f t="shared" ref="F329:F337" si="453">IF(K329=0,LEFT(F328,16)&amp;TEXT(E329,"00"),K329&amp;"."&amp;TEXT(E329,"00"))</f>
        <v>ALP.BSP.SOP.019.02</v>
      </c>
      <c r="G329" s="190" t="str">
        <f>IF(ISBLANK(N329),"",CONCATENATE(LEFT(F329,15),".",INDEX(Ref!A:A,MATCH(N329,Ref!$K$1:$K$333,0))))</f>
        <v>ALP.BSP.SOP.019.2</v>
      </c>
      <c r="H329" s="181"/>
      <c r="I329" s="183"/>
      <c r="J329" s="181"/>
      <c r="K329" s="181"/>
      <c r="L329" s="182"/>
      <c r="M329" s="182"/>
      <c r="N329" s="183" t="s">
        <v>94</v>
      </c>
      <c r="O329" s="182" t="s">
        <v>1008</v>
      </c>
      <c r="P329" s="182" t="s">
        <v>418</v>
      </c>
      <c r="Q329" s="184" t="s">
        <v>89</v>
      </c>
      <c r="R329" s="184" t="s">
        <v>91</v>
      </c>
      <c r="S329" s="185" t="str">
        <f>IFERROR(CLEAN(INDEX('Risk Matrix'!$H$7:$L$11,MATCH($Q329,'Risk Matrix'!$F$7:$F$11,0),MATCH($R329,'Risk Matrix'!$H$6:$L$6,0))),"")</f>
        <v>Low 1</v>
      </c>
      <c r="T329" s="85" t="str">
        <f>IF(LEFT($B329,7)=RIGHT('SOP template'!$B$1,7),_xlfn.NUMBERVALUE(RIGHT($S329,2)),"")</f>
        <v/>
      </c>
      <c r="U329" s="182" t="s">
        <v>887</v>
      </c>
      <c r="V329" s="182" t="s">
        <v>810</v>
      </c>
      <c r="W329" s="182" t="s">
        <v>811</v>
      </c>
      <c r="X329" s="182" t="s">
        <v>812</v>
      </c>
      <c r="Y329" s="182" t="s">
        <v>888</v>
      </c>
      <c r="Z329" s="183" t="s">
        <v>656</v>
      </c>
      <c r="AA329" s="186">
        <f>IFERROR(VLOOKUP(IFERROR(LEFT(S329,4),""),Ref!$AF$2:$AG$5,2,0),"")</f>
        <v>36</v>
      </c>
      <c r="AB329" s="146"/>
      <c r="AC329" s="218" t="s">
        <v>290</v>
      </c>
      <c r="AD329" s="187" t="str">
        <f>IFERROR(VLOOKUP(AC329,'Training Matrix'!B$4:C$24,2,0),"")</f>
        <v>WHS Team member</v>
      </c>
      <c r="AE329" s="221">
        <v>45792</v>
      </c>
      <c r="AF329" s="188">
        <f t="shared" si="360"/>
        <v>46522</v>
      </c>
      <c r="AG329" s="189" t="str">
        <f t="shared" ca="1" si="361"/>
        <v>Current</v>
      </c>
      <c r="AH329" s="50" t="str">
        <f t="shared" ref="AH329" si="454">IF(OR(AC329="",AE329=""),"",CONCATENATE(AC329,"_",K328,"_",L328))</f>
        <v>Person 2_ALP.BSP.SOP.019_Decontamination</v>
      </c>
    </row>
    <row r="330" spans="1:34" ht="45" x14ac:dyDescent="0.25">
      <c r="A330" s="5" t="str">
        <f>IF(LEFT(F330,15)='SOP template'!$B$1,1,"")</f>
        <v/>
      </c>
      <c r="B330" s="190" t="str">
        <f t="shared" si="452"/>
        <v>SOP.019.3</v>
      </c>
      <c r="C330" s="190" t="str">
        <f t="shared" ref="C330:C345" si="455">IF(ISBLANK($K330),CONCATENATE(LEFT($B329,8),IF($E330=1,1.1,IF($E330=2,1.4,IF($E330=3,2,IF($E330=4,2.4,IF($E330=5,3,IF($E330=6,3.4,IF($E330=7,4,IF($E330=8,4.4,IF($E330=9,5,IF($E330=10,5.4,IF($E330=11,6,IF($E330=12,6.4,""))))))))))))),CONCATENATE(RIGHT($K330,7),".1"))</f>
        <v>SOP.019.2</v>
      </c>
      <c r="D330" s="190" t="str">
        <f t="shared" ref="D330:D345" si="456">IF(ISBLANK($K330),CONCATENATE(LEFT($B329,8),IF($E330=1,1,IF($E330=2,1.3,IF($E330=3,1.5,IF($E330=4,2,IF($E330=5,2.3,IF($E330=6,2.5,IF($E330=7,3,IF($E330=8,3.3,IF($E330=9,3.5,IF($E330=10,4,IF($E330=11,4.3,IF($E330=12,4.5,""))))))))))))),CONCATENATE(RIGHT($K330,7),".1"))</f>
        <v>SOP.019.1.5</v>
      </c>
      <c r="E330" s="190">
        <f t="shared" si="445"/>
        <v>3</v>
      </c>
      <c r="F330" s="190" t="str">
        <f t="shared" si="453"/>
        <v>ALP.BSP.SOP.019.03</v>
      </c>
      <c r="G330" s="190" t="str">
        <f>IF(ISBLANK(N330),"",CONCATENATE(LEFT(F330,15),".",INDEX(Ref!A:A,MATCH(N330,Ref!$K$1:$K$333,0))))</f>
        <v>ALP.BSP.SOP.019.7</v>
      </c>
      <c r="H330" s="181"/>
      <c r="I330" s="183"/>
      <c r="J330" s="181"/>
      <c r="K330" s="181"/>
      <c r="L330" s="182"/>
      <c r="M330" s="182"/>
      <c r="N330" s="183" t="s">
        <v>88</v>
      </c>
      <c r="O330" s="182" t="s">
        <v>548</v>
      </c>
      <c r="P330" s="182" t="s">
        <v>981</v>
      </c>
      <c r="Q330" s="184" t="s">
        <v>89</v>
      </c>
      <c r="R330" s="184" t="s">
        <v>91</v>
      </c>
      <c r="S330" s="185" t="str">
        <f>IFERROR(CLEAN(INDEX('Risk Matrix'!$H$7:$L$11,MATCH($Q330,'Risk Matrix'!$F$7:$F$11,0),MATCH($R330,'Risk Matrix'!$H$6:$L$6,0))),"")</f>
        <v>Low 1</v>
      </c>
      <c r="T330" s="85" t="str">
        <f>IF(LEFT($B330,7)=RIGHT('SOP template'!$B$1,7),_xlfn.NUMBERVALUE(RIGHT($S330,2)),"")</f>
        <v/>
      </c>
      <c r="U330" s="182" t="s">
        <v>494</v>
      </c>
      <c r="V330" s="182"/>
      <c r="W330" s="182" t="s">
        <v>889</v>
      </c>
      <c r="X330" s="182" t="s">
        <v>814</v>
      </c>
      <c r="Y330" s="182" t="s">
        <v>890</v>
      </c>
      <c r="Z330" s="183" t="s">
        <v>662</v>
      </c>
      <c r="AA330" s="186">
        <f>IFERROR(VLOOKUP(IFERROR(LEFT(S330,4),""),Ref!$AF$2:$AG$5,2,0),"")</f>
        <v>36</v>
      </c>
      <c r="AB330" s="146"/>
      <c r="AC330" s="218" t="s">
        <v>167</v>
      </c>
      <c r="AD330" s="187" t="str">
        <f>IFERROR(VLOOKUP(AC330,'Training Matrix'!B$4:C$24,2,0),"")</f>
        <v>Bioscience Manager</v>
      </c>
      <c r="AE330" s="221">
        <v>45792</v>
      </c>
      <c r="AF330" s="188">
        <f t="shared" ref="AF330:AF393" si="457">IF(AE330="","",EDATE(AE330,AB$4))</f>
        <v>46522</v>
      </c>
      <c r="AG330" s="189" t="str">
        <f t="shared" ref="AG330:AG393" ca="1" si="458">IF(AE330="","",IF(TODAY()&gt;AF330,"Overdue","Current"))</f>
        <v>Current</v>
      </c>
      <c r="AH330" s="50" t="str">
        <f t="shared" ref="AH330" si="459">IF(OR(AC330="",AE330=""),"",CONCATENATE(AC330,"_",K328,"_",L328))</f>
        <v>Person 3_ALP.BSP.SOP.019_Decontamination</v>
      </c>
    </row>
    <row r="331" spans="1:34" ht="60" x14ac:dyDescent="0.25">
      <c r="A331" s="5" t="str">
        <f>IF(LEFT(F331,15)='SOP template'!$B$1,1,"")</f>
        <v/>
      </c>
      <c r="B331" s="190" t="str">
        <f t="shared" si="452"/>
        <v>SOP.019.4</v>
      </c>
      <c r="C331" s="190" t="str">
        <f t="shared" si="455"/>
        <v>SOP.019.2.4</v>
      </c>
      <c r="D331" s="190" t="str">
        <f t="shared" si="456"/>
        <v>SOP.019.2</v>
      </c>
      <c r="E331" s="190">
        <f t="shared" si="445"/>
        <v>4</v>
      </c>
      <c r="F331" s="190" t="str">
        <f t="shared" si="453"/>
        <v>ALP.BSP.SOP.019.04</v>
      </c>
      <c r="G331" s="190" t="str">
        <f>IF(ISBLANK(N331),"",CONCATENATE(LEFT(F331,15),".",INDEX(Ref!A:A,MATCH(N331,Ref!$K$1:$K$333,0))))</f>
        <v>ALP.BSP.SOP.019.12</v>
      </c>
      <c r="H331" s="181"/>
      <c r="I331" s="183"/>
      <c r="J331" s="181"/>
      <c r="K331" s="181"/>
      <c r="L331" s="182"/>
      <c r="M331" s="182"/>
      <c r="N331" s="183" t="s">
        <v>125</v>
      </c>
      <c r="O331" s="182" t="s">
        <v>413</v>
      </c>
      <c r="P331" s="182" t="s">
        <v>414</v>
      </c>
      <c r="Q331" s="184" t="s">
        <v>89</v>
      </c>
      <c r="R331" s="184" t="s">
        <v>91</v>
      </c>
      <c r="S331" s="185" t="str">
        <f>IFERROR(CLEAN(INDEX('Risk Matrix'!$H$7:$L$11,MATCH($Q331,'Risk Matrix'!$F$7:$F$11,0),MATCH($R331,'Risk Matrix'!$H$6:$L$6,0))),"")</f>
        <v>Low 1</v>
      </c>
      <c r="T331" s="85" t="str">
        <f>IF(LEFT($B331,7)=RIGHT('SOP template'!$B$1,7),_xlfn.NUMBERVALUE(RIGHT($S331,2)),"")</f>
        <v/>
      </c>
      <c r="U331" s="182" t="s">
        <v>817</v>
      </c>
      <c r="V331" s="182"/>
      <c r="W331" s="182" t="s">
        <v>891</v>
      </c>
      <c r="X331" s="182" t="s">
        <v>816</v>
      </c>
      <c r="Y331" s="182" t="s">
        <v>813</v>
      </c>
      <c r="Z331" s="183" t="s">
        <v>667</v>
      </c>
      <c r="AA331" s="186">
        <f>IFERROR(VLOOKUP(IFERROR(LEFT(S331,4),""),Ref!$AF$2:$AG$5,2,0),"")</f>
        <v>36</v>
      </c>
      <c r="AB331" s="146"/>
      <c r="AC331" s="218" t="s">
        <v>168</v>
      </c>
      <c r="AD331" s="187" t="str">
        <f>IFERROR(VLOOKUP(AC331,'Training Matrix'!B$4:C$24,2,0),"")</f>
        <v>Collection Manager</v>
      </c>
      <c r="AE331" s="221">
        <v>45792</v>
      </c>
      <c r="AF331" s="188">
        <f t="shared" si="457"/>
        <v>46522</v>
      </c>
      <c r="AG331" s="189" t="str">
        <f t="shared" ca="1" si="458"/>
        <v>Current</v>
      </c>
      <c r="AH331" s="50" t="str">
        <f t="shared" ref="AH331" si="460">IF(OR(AC331="",AE331=""),"",CONCATENATE(AC331,"_",K328,"_",L328))</f>
        <v>Person 4_ALP.BSP.SOP.019_Decontamination</v>
      </c>
    </row>
    <row r="332" spans="1:34" ht="45" x14ac:dyDescent="0.25">
      <c r="A332" s="5" t="str">
        <f>IF(LEFT(F332,15)='SOP template'!$B$1,1,"")</f>
        <v/>
      </c>
      <c r="B332" s="190" t="str">
        <f t="shared" si="452"/>
        <v>SOP.019.5</v>
      </c>
      <c r="C332" s="190" t="str">
        <f t="shared" si="455"/>
        <v>SOP.019.3</v>
      </c>
      <c r="D332" s="190" t="str">
        <f t="shared" si="456"/>
        <v>SOP.019.2.3</v>
      </c>
      <c r="E332" s="190">
        <f t="shared" si="445"/>
        <v>5</v>
      </c>
      <c r="F332" s="190" t="str">
        <f t="shared" si="453"/>
        <v>ALP.BSP.SOP.019.05</v>
      </c>
      <c r="G332" s="190" t="str">
        <f>IF(ISBLANK(N332),"",CONCATENATE(LEFT(F332,15),".",INDEX(Ref!A:A,MATCH(N332,Ref!$K$1:$K$333,0))))</f>
        <v>ALP.BSP.SOP.019.20</v>
      </c>
      <c r="H332" s="181"/>
      <c r="I332" s="183"/>
      <c r="J332" s="181"/>
      <c r="K332" s="181"/>
      <c r="L332" s="182"/>
      <c r="M332" s="182"/>
      <c r="N332" s="183" t="s">
        <v>133</v>
      </c>
      <c r="O332" s="182" t="s">
        <v>498</v>
      </c>
      <c r="P332" s="182" t="s">
        <v>499</v>
      </c>
      <c r="Q332" s="184" t="s">
        <v>89</v>
      </c>
      <c r="R332" s="184" t="s">
        <v>90</v>
      </c>
      <c r="S332" s="185" t="str">
        <f>IFERROR(CLEAN(INDEX('Risk Matrix'!$H$7:$L$11,MATCH($Q332,'Risk Matrix'!$F$7:$F$11,0),MATCH($R332,'Risk Matrix'!$H$6:$L$6,0))),"")</f>
        <v>Medium 2</v>
      </c>
      <c r="T332" s="85" t="str">
        <f>IF(LEFT($B332,7)=RIGHT('SOP template'!$B$1,7),_xlfn.NUMBERVALUE(RIGHT($S332,2)),"")</f>
        <v/>
      </c>
      <c r="U332" s="182" t="s">
        <v>495</v>
      </c>
      <c r="V332" s="182"/>
      <c r="W332" s="182" t="s">
        <v>892</v>
      </c>
      <c r="X332" s="182" t="s">
        <v>893</v>
      </c>
      <c r="Y332" s="182" t="s">
        <v>815</v>
      </c>
      <c r="Z332" s="183" t="s">
        <v>670</v>
      </c>
      <c r="AA332" s="186">
        <f>IFERROR(VLOOKUP(IFERROR(LEFT(S332,4),""),Ref!$AF$2:$AG$5,2,0),"")</f>
        <v>24</v>
      </c>
      <c r="AB332" s="146"/>
      <c r="AC332" s="218" t="s">
        <v>169</v>
      </c>
      <c r="AD332" s="187" t="str">
        <f>IFERROR(VLOOKUP(AC332,'Training Matrix'!B$4:C$24,2,0),"")</f>
        <v>Technician</v>
      </c>
      <c r="AE332" s="221">
        <v>45792</v>
      </c>
      <c r="AF332" s="188">
        <f t="shared" si="457"/>
        <v>46522</v>
      </c>
      <c r="AG332" s="189" t="str">
        <f t="shared" ca="1" si="458"/>
        <v>Current</v>
      </c>
      <c r="AH332" s="50" t="str">
        <f t="shared" ref="AH332" si="461">IF(OR(AC332="",AE332=""),"",CONCATENATE(AC332,"_",K328,"_",L328))</f>
        <v>Person 5_ALP.BSP.SOP.019_Decontamination</v>
      </c>
    </row>
    <row r="333" spans="1:34" ht="30" x14ac:dyDescent="0.25">
      <c r="A333" s="5" t="str">
        <f>IF(LEFT(F333,15)='SOP template'!$B$1,1,"")</f>
        <v/>
      </c>
      <c r="B333" s="190" t="str">
        <f t="shared" si="452"/>
        <v>SOP.019.6</v>
      </c>
      <c r="C333" s="190" t="str">
        <f t="shared" si="455"/>
        <v>SOP.019.3.4</v>
      </c>
      <c r="D333" s="190" t="str">
        <f t="shared" si="456"/>
        <v>SOP.019.2.5</v>
      </c>
      <c r="E333" s="190">
        <f t="shared" si="445"/>
        <v>6</v>
      </c>
      <c r="F333" s="190" t="str">
        <f t="shared" si="453"/>
        <v>ALP.BSP.SOP.019.06</v>
      </c>
      <c r="G333" s="190" t="str">
        <f>IF(ISBLANK(N333),"",CONCATENATE(LEFT(F333,15),".",INDEX(Ref!A:A,MATCH(N333,Ref!$K$1:$K$333,0))))</f>
        <v/>
      </c>
      <c r="H333" s="181"/>
      <c r="I333" s="183"/>
      <c r="J333" s="181"/>
      <c r="K333" s="181"/>
      <c r="L333" s="182"/>
      <c r="M333" s="182"/>
      <c r="N333" s="183"/>
      <c r="O333" s="182" t="s">
        <v>508</v>
      </c>
      <c r="P333" s="182" t="s">
        <v>980</v>
      </c>
      <c r="Q333" s="184" t="s">
        <v>92</v>
      </c>
      <c r="R333" s="184" t="s">
        <v>90</v>
      </c>
      <c r="S333" s="185" t="str">
        <f>IFERROR(CLEAN(INDEX('Risk Matrix'!$H$7:$L$11,MATCH($Q333,'Risk Matrix'!$F$7:$F$11,0),MATCH($R333,'Risk Matrix'!$H$6:$L$6,0))),"")</f>
        <v>Medium 2</v>
      </c>
      <c r="T333" s="85" t="str">
        <f>IF(LEFT($B333,7)=RIGHT('SOP template'!$B$1,7),_xlfn.NUMBERVALUE(RIGHT($S333,2)),"")</f>
        <v/>
      </c>
      <c r="U333" s="182" t="s">
        <v>517</v>
      </c>
      <c r="V333" s="182"/>
      <c r="W333" s="182"/>
      <c r="X333" s="182" t="s">
        <v>894</v>
      </c>
      <c r="Y333" s="182" t="s">
        <v>440</v>
      </c>
      <c r="Z333" s="183"/>
      <c r="AA333" s="186">
        <f>IFERROR(VLOOKUP(IFERROR(LEFT(S333,4),""),Ref!$AF$2:$AG$5,2,0),"")</f>
        <v>24</v>
      </c>
      <c r="AB333" s="146"/>
      <c r="AC333" s="218" t="s">
        <v>170</v>
      </c>
      <c r="AD333" s="187" t="str">
        <f>IFERROR(VLOOKUP(AC333,'Training Matrix'!B$4:C$24,2,0),"")</f>
        <v>Scientist</v>
      </c>
      <c r="AE333" s="221">
        <v>45792</v>
      </c>
      <c r="AF333" s="188">
        <f t="shared" si="457"/>
        <v>46522</v>
      </c>
      <c r="AG333" s="189" t="str">
        <f t="shared" ca="1" si="458"/>
        <v>Current</v>
      </c>
      <c r="AH333" s="50" t="str">
        <f t="shared" ref="AH333" si="462">IF(OR(AC333="",AE333=""),"",CONCATENATE(AC333,"_",K328,"_",L328))</f>
        <v>Person 6_ALP.BSP.SOP.019_Decontamination</v>
      </c>
    </row>
    <row r="334" spans="1:34" ht="30" x14ac:dyDescent="0.25">
      <c r="A334" s="5" t="str">
        <f>IF(LEFT(F334,15)='SOP template'!$B$1,1,"")</f>
        <v/>
      </c>
      <c r="B334" s="190" t="str">
        <f t="shared" si="452"/>
        <v>SOP.019.7</v>
      </c>
      <c r="C334" s="190" t="str">
        <f t="shared" si="455"/>
        <v>SOP.019.4</v>
      </c>
      <c r="D334" s="190" t="str">
        <f t="shared" si="456"/>
        <v>SOP.019.3</v>
      </c>
      <c r="E334" s="190">
        <f t="shared" si="445"/>
        <v>7</v>
      </c>
      <c r="F334" s="190" t="str">
        <f t="shared" si="453"/>
        <v>ALP.BSP.SOP.019.07</v>
      </c>
      <c r="G334" s="190" t="str">
        <f>IF(ISBLANK(N334),"",CONCATENATE(LEFT(F334,15),".",INDEX(Ref!A:A,MATCH(N334,Ref!$K$1:$K$333,0))))</f>
        <v/>
      </c>
      <c r="H334" s="181"/>
      <c r="I334" s="183"/>
      <c r="J334" s="181"/>
      <c r="K334" s="181"/>
      <c r="L334" s="182"/>
      <c r="M334" s="182"/>
      <c r="N334" s="183"/>
      <c r="O334" s="182"/>
      <c r="P334" s="182"/>
      <c r="Q334" s="184"/>
      <c r="R334" s="184"/>
      <c r="S334" s="185" t="str">
        <f>IFERROR(CLEAN(INDEX('Risk Matrix'!$H$7:$L$11,MATCH($Q334,'Risk Matrix'!$F$7:$F$11,0),MATCH($R334,'Risk Matrix'!$H$6:$L$6,0))),"")</f>
        <v/>
      </c>
      <c r="T334" s="85" t="str">
        <f>IF(LEFT($B334,7)=RIGHT('SOP template'!$B$1,7),_xlfn.NUMBERVALUE(RIGHT($S334,2)),"")</f>
        <v/>
      </c>
      <c r="U334" s="182"/>
      <c r="V334" s="182"/>
      <c r="W334" s="182"/>
      <c r="X334" s="182" t="s">
        <v>889</v>
      </c>
      <c r="Y334" s="182"/>
      <c r="Z334" s="183"/>
      <c r="AA334" s="186" t="str">
        <f>IFERROR(VLOOKUP(IFERROR(LEFT(S334,4),""),Ref!$AF$2:$AG$5,2,0),"")</f>
        <v/>
      </c>
      <c r="AB334" s="146"/>
      <c r="AC334" s="218"/>
      <c r="AD334" s="187" t="str">
        <f>IFERROR(VLOOKUP(AC334,'Training Matrix'!B$4:C$24,2,0),"")</f>
        <v/>
      </c>
      <c r="AE334" s="218"/>
      <c r="AF334" s="188" t="str">
        <f t="shared" si="457"/>
        <v/>
      </c>
      <c r="AG334" s="189" t="str">
        <f t="shared" ca="1" si="458"/>
        <v/>
      </c>
      <c r="AH334" s="50" t="str">
        <f t="shared" ref="AH334" si="463">IF(OR(AC334="",AE334=""),"",CONCATENATE(AC334,"_",K328,"_",L328))</f>
        <v/>
      </c>
    </row>
    <row r="335" spans="1:34" ht="45" x14ac:dyDescent="0.25">
      <c r="A335" s="5" t="str">
        <f>IF(LEFT(F335,15)='SOP template'!$B$1,1,"")</f>
        <v/>
      </c>
      <c r="B335" s="190" t="str">
        <f t="shared" si="452"/>
        <v>SOP.019.8</v>
      </c>
      <c r="C335" s="190" t="str">
        <f t="shared" si="455"/>
        <v>SOP.019.4.4</v>
      </c>
      <c r="D335" s="190" t="str">
        <f t="shared" si="456"/>
        <v>SOP.019.3.3</v>
      </c>
      <c r="E335" s="190">
        <f t="shared" si="445"/>
        <v>8</v>
      </c>
      <c r="F335" s="190" t="str">
        <f t="shared" si="453"/>
        <v>ALP.BSP.SOP.019.08</v>
      </c>
      <c r="G335" s="190" t="str">
        <f>IF(ISBLANK(N335),"",CONCATENATE(LEFT(F335,15),".",INDEX(Ref!A:A,MATCH(N335,Ref!$K$1:$K$333,0))))</f>
        <v/>
      </c>
      <c r="H335" s="181"/>
      <c r="I335" s="183"/>
      <c r="J335" s="181"/>
      <c r="K335" s="181"/>
      <c r="L335" s="182"/>
      <c r="M335" s="182"/>
      <c r="N335" s="183"/>
      <c r="O335" s="182"/>
      <c r="P335" s="182"/>
      <c r="Q335" s="184"/>
      <c r="R335" s="184"/>
      <c r="S335" s="185" t="str">
        <f>IFERROR(CLEAN(INDEX('Risk Matrix'!$H$7:$L$11,MATCH($Q335,'Risk Matrix'!$F$7:$F$11,0),MATCH($R335,'Risk Matrix'!$H$6:$L$6,0))),"")</f>
        <v/>
      </c>
      <c r="T335" s="85" t="str">
        <f>IF(LEFT($B335,7)=RIGHT('SOP template'!$B$1,7),_xlfn.NUMBERVALUE(RIGHT($S335,2)),"")</f>
        <v/>
      </c>
      <c r="U335" s="182"/>
      <c r="V335" s="182"/>
      <c r="W335" s="182"/>
      <c r="X335" s="182" t="s">
        <v>895</v>
      </c>
      <c r="Y335" s="182"/>
      <c r="Z335" s="183"/>
      <c r="AA335" s="186" t="str">
        <f>IFERROR(VLOOKUP(IFERROR(LEFT(S335,4),""),Ref!$AF$2:$AG$5,2,0),"")</f>
        <v/>
      </c>
      <c r="AB335" s="146"/>
      <c r="AC335" s="218"/>
      <c r="AD335" s="187" t="str">
        <f>IFERROR(VLOOKUP(AC335,'Training Matrix'!B$4:C$24,2,0),"")</f>
        <v/>
      </c>
      <c r="AE335" s="218"/>
      <c r="AF335" s="188" t="str">
        <f t="shared" si="457"/>
        <v/>
      </c>
      <c r="AG335" s="189" t="str">
        <f t="shared" ca="1" si="458"/>
        <v/>
      </c>
      <c r="AH335" s="50" t="str">
        <f t="shared" ref="AH335" si="464">IF(OR(AC335="",AE335=""),"",CONCATENATE(AC335,"_",K328,"_",L328))</f>
        <v/>
      </c>
    </row>
    <row r="336" spans="1:34" x14ac:dyDescent="0.25">
      <c r="A336" s="5" t="str">
        <f>IF(LEFT(F336,15)='SOP template'!$B$1,1,"")</f>
        <v/>
      </c>
      <c r="B336" s="190" t="str">
        <f t="shared" si="452"/>
        <v>SOP.019.9</v>
      </c>
      <c r="C336" s="190" t="str">
        <f t="shared" si="455"/>
        <v>SOP.019.5</v>
      </c>
      <c r="D336" s="190" t="str">
        <f t="shared" si="456"/>
        <v>SOP.019.3.5</v>
      </c>
      <c r="E336" s="190">
        <f t="shared" si="445"/>
        <v>9</v>
      </c>
      <c r="F336" s="190" t="str">
        <f t="shared" si="453"/>
        <v>ALP.BSP.SOP.019.09</v>
      </c>
      <c r="G336" s="190" t="str">
        <f>IF(ISBLANK(N336),"",CONCATENATE(LEFT(F336,15),".",INDEX(Ref!A:A,MATCH(N336,Ref!$K$1:$K$333,0))))</f>
        <v/>
      </c>
      <c r="H336" s="181"/>
      <c r="I336" s="183"/>
      <c r="J336" s="181"/>
      <c r="K336" s="181"/>
      <c r="L336" s="182"/>
      <c r="M336" s="182"/>
      <c r="N336" s="183"/>
      <c r="O336" s="182"/>
      <c r="P336" s="182"/>
      <c r="Q336" s="184"/>
      <c r="R336" s="184"/>
      <c r="S336" s="185" t="str">
        <f>IFERROR(CLEAN(INDEX('Risk Matrix'!$H$7:$L$11,MATCH($Q336,'Risk Matrix'!$F$7:$F$11,0),MATCH($R336,'Risk Matrix'!$H$6:$L$6,0))),"")</f>
        <v/>
      </c>
      <c r="T336" s="85" t="str">
        <f>IF(LEFT($B336,7)=RIGHT('SOP template'!$B$1,7),_xlfn.NUMBERVALUE(RIGHT($S336,2)),"")</f>
        <v/>
      </c>
      <c r="U336" s="182"/>
      <c r="V336" s="182"/>
      <c r="W336" s="182"/>
      <c r="X336" s="182"/>
      <c r="Y336" s="182"/>
      <c r="Z336" s="183"/>
      <c r="AA336" s="186" t="str">
        <f>IFERROR(VLOOKUP(IFERROR(LEFT(S336,4),""),Ref!$AF$2:$AG$5,2,0),"")</f>
        <v/>
      </c>
      <c r="AB336" s="146"/>
      <c r="AC336" s="218"/>
      <c r="AD336" s="187" t="str">
        <f>IFERROR(VLOOKUP(AC336,'Training Matrix'!B$4:C$24,2,0),"")</f>
        <v/>
      </c>
      <c r="AE336" s="218"/>
      <c r="AF336" s="188" t="str">
        <f t="shared" si="457"/>
        <v/>
      </c>
      <c r="AG336" s="189" t="str">
        <f t="shared" ca="1" si="458"/>
        <v/>
      </c>
      <c r="AH336" s="50" t="str">
        <f t="shared" ref="AH336" si="465">IF(OR(AC336="",AE336=""),"",CONCATENATE(AC336,"_",K328,"_",L328))</f>
        <v/>
      </c>
    </row>
    <row r="337" spans="1:34" x14ac:dyDescent="0.25">
      <c r="A337" s="5" t="str">
        <f>IF(LEFT(F337,15)='SOP template'!$B$1,1,"")</f>
        <v/>
      </c>
      <c r="B337" s="190" t="str">
        <f t="shared" si="452"/>
        <v>SOP.019.10</v>
      </c>
      <c r="C337" s="190" t="str">
        <f t="shared" si="455"/>
        <v>SOP.019.5.4</v>
      </c>
      <c r="D337" s="190" t="str">
        <f t="shared" si="456"/>
        <v>SOP.019.4</v>
      </c>
      <c r="E337" s="190">
        <f t="shared" si="445"/>
        <v>10</v>
      </c>
      <c r="F337" s="190" t="str">
        <f t="shared" si="453"/>
        <v>ALP.BSP.SOP.019.10</v>
      </c>
      <c r="G337" s="190" t="str">
        <f>IF(ISBLANK(N337),"",CONCATENATE(LEFT(F337,15),".",INDEX(Ref!A:A,MATCH(N337,Ref!$K$1:$K$333,0))))</f>
        <v/>
      </c>
      <c r="H337" s="181"/>
      <c r="I337" s="183"/>
      <c r="J337" s="181"/>
      <c r="K337" s="181"/>
      <c r="L337" s="182"/>
      <c r="M337" s="182"/>
      <c r="N337" s="183"/>
      <c r="O337" s="182"/>
      <c r="P337" s="182"/>
      <c r="Q337" s="184"/>
      <c r="R337" s="184"/>
      <c r="S337" s="185" t="str">
        <f>IFERROR(CLEAN(INDEX('Risk Matrix'!$H$7:$L$11,MATCH($Q337,'Risk Matrix'!$F$7:$F$11,0),MATCH($R337,'Risk Matrix'!$H$6:$L$6,0))),"")</f>
        <v/>
      </c>
      <c r="T337" s="85" t="str">
        <f>IF(LEFT($B337,7)=RIGHT('SOP template'!$B$1,7),_xlfn.NUMBERVALUE(RIGHT($S337,2)),"")</f>
        <v/>
      </c>
      <c r="U337" s="182"/>
      <c r="V337" s="182"/>
      <c r="W337" s="182"/>
      <c r="X337" s="182"/>
      <c r="Y337" s="182"/>
      <c r="Z337" s="183"/>
      <c r="AA337" s="186" t="str">
        <f>IFERROR(VLOOKUP(IFERROR(LEFT(S337,4),""),Ref!$AF$2:$AG$5,2,0),"")</f>
        <v/>
      </c>
      <c r="AB337" s="146"/>
      <c r="AC337" s="218"/>
      <c r="AD337" s="187" t="str">
        <f>IFERROR(VLOOKUP(AC337,'Training Matrix'!B$4:C$24,2,0),"")</f>
        <v/>
      </c>
      <c r="AE337" s="218"/>
      <c r="AF337" s="188" t="str">
        <f t="shared" si="457"/>
        <v/>
      </c>
      <c r="AG337" s="189" t="str">
        <f t="shared" ca="1" si="458"/>
        <v/>
      </c>
      <c r="AH337" s="50" t="str">
        <f t="shared" ref="AH337" si="466">IF(OR(AC337="",AE337=""),"",CONCATENATE(AC337,"_",K328,"_",L328))</f>
        <v/>
      </c>
    </row>
    <row r="338" spans="1:34" x14ac:dyDescent="0.25">
      <c r="A338" s="5" t="str">
        <f>IF(LEFT(F338,15)='SOP template'!$B$1,1,"")</f>
        <v/>
      </c>
      <c r="B338" s="190" t="str">
        <f t="shared" ref="B338:B345" si="467">CONCATENATE(LEFT(B337,8),E338)</f>
        <v>SOP.019.11</v>
      </c>
      <c r="C338" s="190" t="str">
        <f t="shared" si="455"/>
        <v>SOP.019.6</v>
      </c>
      <c r="D338" s="190" t="str">
        <f t="shared" si="456"/>
        <v>SOP.019.4.3</v>
      </c>
      <c r="E338" s="190">
        <f t="shared" si="445"/>
        <v>11</v>
      </c>
      <c r="F338" s="190" t="str">
        <f t="shared" ref="F338:F345" si="468">IF(K338=0,LEFT(F337,16)&amp;TEXT(E338,"00"),K338&amp;"."&amp;TEXT(E338,"00"))</f>
        <v>ALP.BSP.SOP.019.11</v>
      </c>
      <c r="G338" s="190" t="str">
        <f>IF(ISBLANK(N338),"",CONCATENATE(LEFT(F338,15),".",INDEX(Ref!A:A,MATCH(N338,Ref!$K$1:$K$333,0))))</f>
        <v/>
      </c>
      <c r="H338" s="181"/>
      <c r="I338" s="183"/>
      <c r="J338" s="181"/>
      <c r="K338" s="181"/>
      <c r="L338" s="182"/>
      <c r="M338" s="182"/>
      <c r="N338" s="183"/>
      <c r="O338" s="182"/>
      <c r="P338" s="182"/>
      <c r="Q338" s="184"/>
      <c r="R338" s="184"/>
      <c r="S338" s="185" t="str">
        <f>IFERROR(CLEAN(INDEX('Risk Matrix'!$H$7:$L$11,MATCH($Q338,'Risk Matrix'!$F$7:$F$11,0),MATCH($R338,'Risk Matrix'!$H$6:$L$6,0))),"")</f>
        <v/>
      </c>
      <c r="T338" s="85" t="str">
        <f>IF(LEFT($B338,7)=RIGHT('SOP template'!$B$1,7),_xlfn.NUMBERVALUE(RIGHT($S338,2)),"")</f>
        <v/>
      </c>
      <c r="U338" s="182"/>
      <c r="V338" s="182"/>
      <c r="W338" s="182"/>
      <c r="X338" s="182"/>
      <c r="Y338" s="182"/>
      <c r="Z338" s="183"/>
      <c r="AA338" s="186" t="str">
        <f>IFERROR(VLOOKUP(IFERROR(LEFT(S338,4),""),Ref!$AF$2:$AG$5,2,0),"")</f>
        <v/>
      </c>
      <c r="AB338" s="146"/>
      <c r="AC338" s="218"/>
      <c r="AD338" s="187" t="str">
        <f>IFERROR(VLOOKUP(AC338,'Training Matrix'!B$4:C$24,2,0),"")</f>
        <v/>
      </c>
      <c r="AE338" s="218"/>
      <c r="AF338" s="188" t="str">
        <f t="shared" si="457"/>
        <v/>
      </c>
      <c r="AG338" s="189" t="str">
        <f t="shared" ca="1" si="458"/>
        <v/>
      </c>
      <c r="AH338" s="50" t="str">
        <f t="shared" ref="AH338" si="469">IF(OR(AC338="",AE338=""),"",CONCATENATE(AC338,"_",K328,"_",L328))</f>
        <v/>
      </c>
    </row>
    <row r="339" spans="1:34" x14ac:dyDescent="0.25">
      <c r="A339" s="5" t="str">
        <f>IF(LEFT(F339,15)='SOP template'!$B$1,1,"")</f>
        <v/>
      </c>
      <c r="B339" s="190" t="str">
        <f t="shared" si="467"/>
        <v>SOP.019.12</v>
      </c>
      <c r="C339" s="190" t="str">
        <f t="shared" si="455"/>
        <v>SOP.019.6.4</v>
      </c>
      <c r="D339" s="190" t="str">
        <f t="shared" si="456"/>
        <v>SOP.019.4.5</v>
      </c>
      <c r="E339" s="190">
        <f t="shared" si="445"/>
        <v>12</v>
      </c>
      <c r="F339" s="190" t="str">
        <f t="shared" si="468"/>
        <v>ALP.BSP.SOP.019.12</v>
      </c>
      <c r="G339" s="190" t="str">
        <f>IF(ISBLANK(N339),"",CONCATENATE(LEFT(F339,15),".",INDEX(Ref!A:A,MATCH(N339,Ref!$K$1:$K$333,0))))</f>
        <v/>
      </c>
      <c r="H339" s="181"/>
      <c r="I339" s="183"/>
      <c r="J339" s="181"/>
      <c r="K339" s="181"/>
      <c r="L339" s="182"/>
      <c r="M339" s="182"/>
      <c r="N339" s="183"/>
      <c r="O339" s="182"/>
      <c r="P339" s="182"/>
      <c r="Q339" s="184"/>
      <c r="R339" s="184"/>
      <c r="S339" s="185" t="str">
        <f>IFERROR(CLEAN(INDEX('Risk Matrix'!$H$7:$L$11,MATCH($Q339,'Risk Matrix'!$F$7:$F$11,0),MATCH($R339,'Risk Matrix'!$H$6:$L$6,0))),"")</f>
        <v/>
      </c>
      <c r="T339" s="85" t="str">
        <f>IF(LEFT($B339,7)=RIGHT('SOP template'!$B$1,7),_xlfn.NUMBERVALUE(RIGHT($S339,2)),"")</f>
        <v/>
      </c>
      <c r="U339" s="182"/>
      <c r="V339" s="182"/>
      <c r="W339" s="182"/>
      <c r="X339" s="182"/>
      <c r="Y339" s="182"/>
      <c r="Z339" s="183"/>
      <c r="AA339" s="186" t="str">
        <f>IFERROR(VLOOKUP(IFERROR(LEFT(S339,4),""),Ref!$AF$2:$AG$5,2,0),"")</f>
        <v/>
      </c>
      <c r="AB339" s="146"/>
      <c r="AC339" s="218"/>
      <c r="AD339" s="187" t="str">
        <f>IFERROR(VLOOKUP(AC339,'Training Matrix'!B$4:C$24,2,0),"")</f>
        <v/>
      </c>
      <c r="AE339" s="218"/>
      <c r="AF339" s="188" t="str">
        <f t="shared" si="457"/>
        <v/>
      </c>
      <c r="AG339" s="189" t="str">
        <f t="shared" ca="1" si="458"/>
        <v/>
      </c>
      <c r="AH339" s="50" t="str">
        <f t="shared" ref="AH339" si="470">IF(OR(AC339="",AE339=""),"",CONCATENATE(AC339,"_",K328,"_",L328))</f>
        <v/>
      </c>
    </row>
    <row r="340" spans="1:34" x14ac:dyDescent="0.25">
      <c r="A340" s="5" t="str">
        <f>IF(LEFT(F340,15)='SOP template'!$B$1,1,"")</f>
        <v/>
      </c>
      <c r="B340" s="190" t="str">
        <f t="shared" si="467"/>
        <v>SOP.019.13</v>
      </c>
      <c r="C340" s="190" t="str">
        <f t="shared" si="455"/>
        <v>SOP.019.</v>
      </c>
      <c r="D340" s="190" t="str">
        <f t="shared" si="456"/>
        <v>SOP.019.</v>
      </c>
      <c r="E340" s="190">
        <f t="shared" si="445"/>
        <v>13</v>
      </c>
      <c r="F340" s="190" t="str">
        <f t="shared" si="468"/>
        <v>ALP.BSP.SOP.019.13</v>
      </c>
      <c r="G340" s="190" t="str">
        <f>IF(ISBLANK(N340),"",CONCATENATE(LEFT(F340,15),".",INDEX(Ref!A:A,MATCH(N340,Ref!$K$1:$K$333,0))))</f>
        <v/>
      </c>
      <c r="H340" s="181"/>
      <c r="I340" s="183"/>
      <c r="J340" s="181"/>
      <c r="K340" s="181"/>
      <c r="L340" s="182"/>
      <c r="M340" s="182"/>
      <c r="N340" s="183"/>
      <c r="O340" s="182"/>
      <c r="P340" s="182"/>
      <c r="Q340" s="184"/>
      <c r="R340" s="184"/>
      <c r="S340" s="185" t="str">
        <f>IFERROR(CLEAN(INDEX('Risk Matrix'!$H$7:$L$11,MATCH($Q340,'Risk Matrix'!$F$7:$F$11,0),MATCH($R340,'Risk Matrix'!$H$6:$L$6,0))),"")</f>
        <v/>
      </c>
      <c r="T340" s="85" t="str">
        <f>IF(LEFT($B340,7)=RIGHT('SOP template'!$B$1,7),_xlfn.NUMBERVALUE(RIGHT($S340,2)),"")</f>
        <v/>
      </c>
      <c r="U340" s="182"/>
      <c r="V340" s="182"/>
      <c r="W340" s="182"/>
      <c r="X340" s="182"/>
      <c r="Y340" s="182"/>
      <c r="Z340" s="183"/>
      <c r="AA340" s="186" t="str">
        <f>IFERROR(VLOOKUP(IFERROR(LEFT(S340,4),""),Ref!$AF$2:$AG$5,2,0),"")</f>
        <v/>
      </c>
      <c r="AB340" s="146"/>
      <c r="AC340" s="218"/>
      <c r="AD340" s="187" t="str">
        <f>IFERROR(VLOOKUP(AC340,'Training Matrix'!B$4:C$24,2,0),"")</f>
        <v/>
      </c>
      <c r="AE340" s="218"/>
      <c r="AF340" s="188" t="str">
        <f t="shared" si="457"/>
        <v/>
      </c>
      <c r="AG340" s="189" t="str">
        <f t="shared" ca="1" si="458"/>
        <v/>
      </c>
      <c r="AH340" s="50" t="str">
        <f t="shared" ref="AH340" si="471">IF(OR(AC340="",AE340=""),"",CONCATENATE(AC340,"_",K328,"_",L328))</f>
        <v/>
      </c>
    </row>
    <row r="341" spans="1:34" x14ac:dyDescent="0.25">
      <c r="A341" s="5" t="str">
        <f>IF(LEFT(F341,15)='SOP template'!$B$1,1,"")</f>
        <v/>
      </c>
      <c r="B341" s="190" t="str">
        <f t="shared" si="467"/>
        <v>SOP.019.14</v>
      </c>
      <c r="C341" s="190" t="str">
        <f t="shared" si="455"/>
        <v>SOP.019.</v>
      </c>
      <c r="D341" s="190" t="str">
        <f t="shared" si="456"/>
        <v>SOP.019.</v>
      </c>
      <c r="E341" s="190">
        <f t="shared" si="445"/>
        <v>14</v>
      </c>
      <c r="F341" s="190" t="str">
        <f t="shared" si="468"/>
        <v>ALP.BSP.SOP.019.14</v>
      </c>
      <c r="G341" s="190" t="str">
        <f>IF(ISBLANK(N341),"",CONCATENATE(LEFT(F341,15),".",INDEX(Ref!A:A,MATCH(N341,Ref!$K$1:$K$333,0))))</f>
        <v/>
      </c>
      <c r="H341" s="181"/>
      <c r="I341" s="183"/>
      <c r="J341" s="181"/>
      <c r="K341" s="181"/>
      <c r="L341" s="182"/>
      <c r="M341" s="182"/>
      <c r="N341" s="183"/>
      <c r="O341" s="182"/>
      <c r="P341" s="182"/>
      <c r="Q341" s="184"/>
      <c r="R341" s="184"/>
      <c r="S341" s="185" t="str">
        <f>IFERROR(CLEAN(INDEX('Risk Matrix'!$H$7:$L$11,MATCH($Q341,'Risk Matrix'!$F$7:$F$11,0),MATCH($R341,'Risk Matrix'!$H$6:$L$6,0))),"")</f>
        <v/>
      </c>
      <c r="T341" s="85" t="str">
        <f>IF(LEFT($B341,7)=RIGHT('SOP template'!$B$1,7),_xlfn.NUMBERVALUE(RIGHT($S341,2)),"")</f>
        <v/>
      </c>
      <c r="U341" s="182"/>
      <c r="V341" s="182"/>
      <c r="W341" s="182"/>
      <c r="X341" s="182"/>
      <c r="Y341" s="182"/>
      <c r="Z341" s="183"/>
      <c r="AA341" s="186" t="str">
        <f>IFERROR(VLOOKUP(IFERROR(LEFT(S341,4),""),Ref!$AF$2:$AG$5,2,0),"")</f>
        <v/>
      </c>
      <c r="AB341" s="146"/>
      <c r="AC341" s="218"/>
      <c r="AD341" s="187" t="str">
        <f>IFERROR(VLOOKUP(AC341,'Training Matrix'!B$4:C$24,2,0),"")</f>
        <v/>
      </c>
      <c r="AE341" s="218"/>
      <c r="AF341" s="188" t="str">
        <f t="shared" si="457"/>
        <v/>
      </c>
      <c r="AG341" s="189" t="str">
        <f t="shared" ca="1" si="458"/>
        <v/>
      </c>
      <c r="AH341" s="50" t="str">
        <f t="shared" ref="AH341" si="472">IF(OR(AC341="",AE341=""),"",CONCATENATE(AC341,"_",K328,"_",L328))</f>
        <v/>
      </c>
    </row>
    <row r="342" spans="1:34" x14ac:dyDescent="0.25">
      <c r="A342" s="5" t="str">
        <f>IF(LEFT(F342,15)='SOP template'!$B$1,1,"")</f>
        <v/>
      </c>
      <c r="B342" s="190" t="str">
        <f t="shared" si="467"/>
        <v>SOP.019.15</v>
      </c>
      <c r="C342" s="190" t="str">
        <f t="shared" si="455"/>
        <v>SOP.019.</v>
      </c>
      <c r="D342" s="190" t="str">
        <f t="shared" si="456"/>
        <v>SOP.019.</v>
      </c>
      <c r="E342" s="190">
        <f t="shared" si="445"/>
        <v>15</v>
      </c>
      <c r="F342" s="190" t="str">
        <f t="shared" si="468"/>
        <v>ALP.BSP.SOP.019.15</v>
      </c>
      <c r="G342" s="190" t="str">
        <f>IF(ISBLANK(N342),"",CONCATENATE(LEFT(F342,15),".",INDEX(Ref!A:A,MATCH(N342,Ref!$K$1:$K$333,0))))</f>
        <v/>
      </c>
      <c r="H342" s="181"/>
      <c r="I342" s="183"/>
      <c r="J342" s="181"/>
      <c r="K342" s="181"/>
      <c r="L342" s="182"/>
      <c r="M342" s="182"/>
      <c r="N342" s="183"/>
      <c r="O342" s="182"/>
      <c r="P342" s="182"/>
      <c r="Q342" s="184"/>
      <c r="R342" s="184"/>
      <c r="S342" s="185" t="str">
        <f>IFERROR(CLEAN(INDEX('Risk Matrix'!$H$7:$L$11,MATCH($Q342,'Risk Matrix'!$F$7:$F$11,0),MATCH($R342,'Risk Matrix'!$H$6:$L$6,0))),"")</f>
        <v/>
      </c>
      <c r="T342" s="85" t="str">
        <f>IF(LEFT($B342,7)=RIGHT('SOP template'!$B$1,7),_xlfn.NUMBERVALUE(RIGHT($S342,2)),"")</f>
        <v/>
      </c>
      <c r="U342" s="182"/>
      <c r="V342" s="182"/>
      <c r="W342" s="182"/>
      <c r="X342" s="182"/>
      <c r="Y342" s="182"/>
      <c r="Z342" s="183"/>
      <c r="AA342" s="186" t="str">
        <f>IFERROR(VLOOKUP(IFERROR(LEFT(S342,4),""),Ref!$AF$2:$AG$5,2,0),"")</f>
        <v/>
      </c>
      <c r="AB342" s="146"/>
      <c r="AC342" s="218"/>
      <c r="AD342" s="187" t="str">
        <f>IFERROR(VLOOKUP(AC342,'Training Matrix'!B$4:C$24,2,0),"")</f>
        <v/>
      </c>
      <c r="AE342" s="218"/>
      <c r="AF342" s="188" t="str">
        <f t="shared" si="457"/>
        <v/>
      </c>
      <c r="AG342" s="189" t="str">
        <f t="shared" ca="1" si="458"/>
        <v/>
      </c>
      <c r="AH342" s="50" t="str">
        <f t="shared" ref="AH342" si="473">IF(OR(AC342="",AE342=""),"",CONCATENATE(AC342,"_",K328,"_",L328))</f>
        <v/>
      </c>
    </row>
    <row r="343" spans="1:34" x14ac:dyDescent="0.25">
      <c r="A343" s="5" t="str">
        <f>IF(LEFT(F343,15)='SOP template'!$B$1,1,"")</f>
        <v/>
      </c>
      <c r="B343" s="190" t="str">
        <f t="shared" si="467"/>
        <v>SOP.019.16</v>
      </c>
      <c r="C343" s="190" t="str">
        <f t="shared" si="455"/>
        <v>SOP.019.</v>
      </c>
      <c r="D343" s="190" t="str">
        <f t="shared" si="456"/>
        <v>SOP.019.</v>
      </c>
      <c r="E343" s="190">
        <f t="shared" si="445"/>
        <v>16</v>
      </c>
      <c r="F343" s="190" t="str">
        <f t="shared" si="468"/>
        <v>ALP.BSP.SOP.019.16</v>
      </c>
      <c r="G343" s="190" t="str">
        <f>IF(ISBLANK(N343),"",CONCATENATE(LEFT(F343,15),".",INDEX(Ref!A:A,MATCH(N343,Ref!$K$1:$K$333,0))))</f>
        <v/>
      </c>
      <c r="H343" s="181"/>
      <c r="I343" s="183"/>
      <c r="J343" s="181"/>
      <c r="K343" s="181"/>
      <c r="L343" s="182"/>
      <c r="M343" s="182"/>
      <c r="N343" s="183"/>
      <c r="O343" s="182"/>
      <c r="P343" s="182"/>
      <c r="Q343" s="184"/>
      <c r="R343" s="184"/>
      <c r="S343" s="185" t="str">
        <f>IFERROR(CLEAN(INDEX('Risk Matrix'!$H$7:$L$11,MATCH($Q343,'Risk Matrix'!$F$7:$F$11,0),MATCH($R343,'Risk Matrix'!$H$6:$L$6,0))),"")</f>
        <v/>
      </c>
      <c r="T343" s="85" t="str">
        <f>IF(LEFT($B343,7)=RIGHT('SOP template'!$B$1,7),_xlfn.NUMBERVALUE(RIGHT($S343,2)),"")</f>
        <v/>
      </c>
      <c r="U343" s="182"/>
      <c r="V343" s="182"/>
      <c r="W343" s="182"/>
      <c r="X343" s="182"/>
      <c r="Y343" s="182"/>
      <c r="Z343" s="183"/>
      <c r="AA343" s="186" t="str">
        <f>IFERROR(VLOOKUP(IFERROR(LEFT(S343,4),""),Ref!$AF$2:$AG$5,2,0),"")</f>
        <v/>
      </c>
      <c r="AB343" s="146"/>
      <c r="AC343" s="218"/>
      <c r="AD343" s="187" t="str">
        <f>IFERROR(VLOOKUP(AC343,'Training Matrix'!B$4:C$24,2,0),"")</f>
        <v/>
      </c>
      <c r="AE343" s="218"/>
      <c r="AF343" s="188" t="str">
        <f t="shared" si="457"/>
        <v/>
      </c>
      <c r="AG343" s="189" t="str">
        <f t="shared" ca="1" si="458"/>
        <v/>
      </c>
      <c r="AH343" s="50" t="str">
        <f t="shared" ref="AH343" si="474">IF(OR(AC343="",AE343=""),"",CONCATENATE(AC343,"_",K328,"_",L328))</f>
        <v/>
      </c>
    </row>
    <row r="344" spans="1:34" x14ac:dyDescent="0.25">
      <c r="A344" s="5" t="str">
        <f>IF(LEFT(F344,15)='SOP template'!$B$1,1,"")</f>
        <v/>
      </c>
      <c r="B344" s="190" t="str">
        <f t="shared" si="467"/>
        <v>SOP.019.17</v>
      </c>
      <c r="C344" s="190" t="str">
        <f t="shared" si="455"/>
        <v>SOP.019.</v>
      </c>
      <c r="D344" s="190" t="str">
        <f t="shared" si="456"/>
        <v>SOP.019.</v>
      </c>
      <c r="E344" s="190">
        <f t="shared" si="445"/>
        <v>17</v>
      </c>
      <c r="F344" s="190" t="str">
        <f t="shared" si="468"/>
        <v>ALP.BSP.SOP.019.17</v>
      </c>
      <c r="G344" s="190" t="str">
        <f>IF(ISBLANK(N344),"",CONCATENATE(LEFT(F344,15),".",INDEX(Ref!A:A,MATCH(N344,Ref!$K$1:$K$333,0))))</f>
        <v/>
      </c>
      <c r="H344" s="181"/>
      <c r="I344" s="183"/>
      <c r="J344" s="181"/>
      <c r="K344" s="181"/>
      <c r="L344" s="182"/>
      <c r="M344" s="182"/>
      <c r="N344" s="183"/>
      <c r="O344" s="182"/>
      <c r="P344" s="182"/>
      <c r="Q344" s="184"/>
      <c r="R344" s="184"/>
      <c r="S344" s="185" t="str">
        <f>IFERROR(CLEAN(INDEX('Risk Matrix'!$H$7:$L$11,MATCH($Q344,'Risk Matrix'!$F$7:$F$11,0),MATCH($R344,'Risk Matrix'!$H$6:$L$6,0))),"")</f>
        <v/>
      </c>
      <c r="T344" s="85" t="str">
        <f>IF(LEFT($B344,7)=RIGHT('SOP template'!$B$1,7),_xlfn.NUMBERVALUE(RIGHT($S344,2)),"")</f>
        <v/>
      </c>
      <c r="U344" s="182"/>
      <c r="V344" s="182"/>
      <c r="W344" s="182"/>
      <c r="X344" s="182"/>
      <c r="Y344" s="182"/>
      <c r="Z344" s="183"/>
      <c r="AA344" s="186" t="str">
        <f>IFERROR(VLOOKUP(IFERROR(LEFT(S344,4),""),Ref!$AF$2:$AG$5,2,0),"")</f>
        <v/>
      </c>
      <c r="AB344" s="146"/>
      <c r="AC344" s="218"/>
      <c r="AD344" s="187" t="str">
        <f>IFERROR(VLOOKUP(AC344,'Training Matrix'!B$4:C$24,2,0),"")</f>
        <v/>
      </c>
      <c r="AE344" s="218"/>
      <c r="AF344" s="188" t="str">
        <f t="shared" si="457"/>
        <v/>
      </c>
      <c r="AG344" s="189" t="str">
        <f t="shared" ca="1" si="458"/>
        <v/>
      </c>
      <c r="AH344" s="50" t="str">
        <f t="shared" ref="AH344" si="475">IF(OR(AC344="",AE344=""),"",CONCATENATE(AC344,"_",K328,"_",L328))</f>
        <v/>
      </c>
    </row>
    <row r="345" spans="1:34" x14ac:dyDescent="0.25">
      <c r="A345" s="5" t="str">
        <f>IF(LEFT(F345,15)='SOP template'!$B$1,1,"")</f>
        <v/>
      </c>
      <c r="B345" s="190" t="str">
        <f t="shared" si="467"/>
        <v>SOP.019.18</v>
      </c>
      <c r="C345" s="190" t="str">
        <f t="shared" si="455"/>
        <v>SOP.019.</v>
      </c>
      <c r="D345" s="190" t="str">
        <f t="shared" si="456"/>
        <v>SOP.019.</v>
      </c>
      <c r="E345" s="190">
        <f t="shared" si="445"/>
        <v>18</v>
      </c>
      <c r="F345" s="190" t="str">
        <f t="shared" si="468"/>
        <v>ALP.BSP.SOP.019.18</v>
      </c>
      <c r="G345" s="190" t="str">
        <f>IF(ISBLANK(N345),"",CONCATENATE(LEFT(F345,15),".",INDEX(Ref!A:A,MATCH(N345,Ref!$K$1:$K$333,0))))</f>
        <v/>
      </c>
      <c r="H345" s="181"/>
      <c r="I345" s="183"/>
      <c r="J345" s="181"/>
      <c r="K345" s="181"/>
      <c r="L345" s="182"/>
      <c r="M345" s="182"/>
      <c r="N345" s="183"/>
      <c r="O345" s="182"/>
      <c r="P345" s="182"/>
      <c r="Q345" s="184"/>
      <c r="R345" s="184"/>
      <c r="S345" s="185" t="str">
        <f>IFERROR(CLEAN(INDEX('Risk Matrix'!$H$7:$L$11,MATCH($Q345,'Risk Matrix'!$F$7:$F$11,0),MATCH($R345,'Risk Matrix'!$H$6:$L$6,0))),"")</f>
        <v/>
      </c>
      <c r="T345" s="85" t="str">
        <f>IF(LEFT($B345,7)=RIGHT('SOP template'!$B$1,7),_xlfn.NUMBERVALUE(RIGHT($S345,2)),"")</f>
        <v/>
      </c>
      <c r="U345" s="182"/>
      <c r="V345" s="182"/>
      <c r="W345" s="182"/>
      <c r="X345" s="182"/>
      <c r="Y345" s="182"/>
      <c r="Z345" s="183"/>
      <c r="AA345" s="186" t="str">
        <f>IFERROR(VLOOKUP(IFERROR(LEFT(S345,4),""),Ref!$AF$2:$AG$5,2,0),"")</f>
        <v/>
      </c>
      <c r="AB345" s="146"/>
      <c r="AC345" s="218"/>
      <c r="AD345" s="187" t="str">
        <f>IFERROR(VLOOKUP(AC345,'Training Matrix'!B$4:C$24,2,0),"")</f>
        <v/>
      </c>
      <c r="AE345" s="218"/>
      <c r="AF345" s="188" t="str">
        <f t="shared" si="457"/>
        <v/>
      </c>
      <c r="AG345" s="189" t="str">
        <f t="shared" ca="1" si="458"/>
        <v/>
      </c>
      <c r="AH345" s="50" t="str">
        <f t="shared" ref="AH345" si="476">IF(OR(AC345="",AE345=""),"",CONCATENATE(AC345,"_",K328,"_",L328))</f>
        <v/>
      </c>
    </row>
    <row r="346" spans="1:34" ht="45" x14ac:dyDescent="0.25">
      <c r="A346" s="5" t="str">
        <f>IF(LEFT(F346,15)='SOP template'!$B$1,1,"")</f>
        <v/>
      </c>
      <c r="B346" s="179" t="str">
        <f t="shared" ref="B346" si="477">IF(ISBLANK($K346),CONCATENATE($B$2,".",TEXT(J346,"000"),".",$E346),CONCATENATE(RIGHT($K346,7),".1"))</f>
        <v>SOP.020.1</v>
      </c>
      <c r="C346" s="179" t="str">
        <f>IF(ISBLANK($K346),CONCATENATE(LEFT(#REF!,8),IF($E346=1,1.1,IF($E346=2,1.4,IF($E346=3,2,IF($E346=4,2.4,IF($E346=5,3,IF($E346=6,3.4,IF($E346=7,4,IF($E346=8,4.4,IF($E346=9,5,IF($E346=10,5.4,IF($E346=11,6,IF($E346=12,6.4,""))))))))))))),CONCATENATE(RIGHT($K346,7),".1"))</f>
        <v>SOP.020.1</v>
      </c>
      <c r="D346" s="179" t="str">
        <f>IF(ISBLANK($K346),CONCATENATE(LEFT(#REF!,8),IF($E346=1,1,IF($E346=2,1.3,IF($E346=3,1.5,IF($E346=4,2,IF($E346=5,2.3,IF($E346=6,2.5,IF($E346=7,3,IF($E346=8,3.3,IF($E346=9,3.5,IF($E346=10,4,IF($E346=11,4.3,IF($E346=12,4.5,""))))))))))))),CONCATENATE(RIGHT($K346,7),".1"))</f>
        <v>SOP.020.1</v>
      </c>
      <c r="E346" s="179">
        <f t="shared" si="445"/>
        <v>1</v>
      </c>
      <c r="F346" s="179" t="str">
        <f t="shared" ref="F346" si="478">K346&amp;"."&amp;TEXT(E346,"00")</f>
        <v>ALP.BSP.SOP.020.01</v>
      </c>
      <c r="G346" s="179" t="str">
        <f>IF(ISBLANK(N346),"",CONCATENATE(LEFT(F346,15),".",INDEX(Ref!A:A,MATCH(N346,Ref!$K$1:$K$333,0))))</f>
        <v>ALP.BSP.SOP.020.7</v>
      </c>
      <c r="H346" s="217" t="s">
        <v>394</v>
      </c>
      <c r="I346" s="217" t="s">
        <v>275</v>
      </c>
      <c r="J346" s="180">
        <v>20</v>
      </c>
      <c r="K346" s="181" t="str">
        <f>IFERROR(CONCATENATE(INDEX(Ref!$Z$2:$Z$8,MATCH(H346,Ref!$AA$2:$AA$8,0)),".",I346,".SOP.",TEXT(J346,"000")),CONCATENATE(H346,".",I346,".SOP.",TEXT(J346,"000")))</f>
        <v>ALP.BSP.SOP.020</v>
      </c>
      <c r="L346" s="191" t="s">
        <v>1009</v>
      </c>
      <c r="M346" s="182" t="s">
        <v>1010</v>
      </c>
      <c r="N346" s="183" t="s">
        <v>88</v>
      </c>
      <c r="O346" s="182" t="s">
        <v>498</v>
      </c>
      <c r="P346" s="182" t="s">
        <v>499</v>
      </c>
      <c r="Q346" s="184" t="s">
        <v>89</v>
      </c>
      <c r="R346" s="184" t="s">
        <v>91</v>
      </c>
      <c r="S346" s="185" t="str">
        <f>IFERROR(CLEAN(INDEX('Risk Matrix'!$H$7:$L$11,MATCH($Q346,'Risk Matrix'!$F$7:$F$11,0),MATCH($R346,'Risk Matrix'!$H$6:$L$6,0))),"")</f>
        <v>Low 1</v>
      </c>
      <c r="T346" s="85" t="str">
        <f>IF(LEFT($B346,7)=RIGHT('SOP template'!$B$1,7),_xlfn.NUMBERVALUE(RIGHT($S346,2)),"")</f>
        <v/>
      </c>
      <c r="U346" s="182" t="s">
        <v>896</v>
      </c>
      <c r="V346" s="182" t="s">
        <v>897</v>
      </c>
      <c r="W346" s="182" t="s">
        <v>898</v>
      </c>
      <c r="X346" s="182" t="s">
        <v>899</v>
      </c>
      <c r="Y346" s="182" t="s">
        <v>900</v>
      </c>
      <c r="Z346" s="182" t="s">
        <v>901</v>
      </c>
      <c r="AA346" s="186">
        <f>IFERROR(VLOOKUP(IFERROR(LEFT(S346,4),""),Ref!$AF$2:$AG$5,2,0),"")</f>
        <v>36</v>
      </c>
      <c r="AB346" s="186">
        <f>MIN($AA346:$AA363)</f>
        <v>36</v>
      </c>
      <c r="AC346" s="218" t="s">
        <v>289</v>
      </c>
      <c r="AD346" s="187" t="str">
        <f>IFERROR(VLOOKUP(AC346,'Training Matrix'!B$4:C$24,2,0),"")</f>
        <v>Dock Manager</v>
      </c>
      <c r="AE346" s="221">
        <v>45792</v>
      </c>
      <c r="AF346" s="188">
        <f t="shared" si="457"/>
        <v>46522</v>
      </c>
      <c r="AG346" s="189" t="str">
        <f t="shared" ca="1" si="458"/>
        <v>Current</v>
      </c>
      <c r="AH346" s="50" t="str">
        <f t="shared" ref="AH346" si="479">IF(OR(AC346="",AE346=""),"",CONCATENATE(AC346,"_",K346,"_",L346))</f>
        <v>Person 1_ALP.BSP.SOP.020_Moving soiled laundry for collection</v>
      </c>
    </row>
    <row r="347" spans="1:34" ht="45" x14ac:dyDescent="0.25">
      <c r="A347" s="5" t="str">
        <f>IF(LEFT(F347,15)='SOP template'!$B$1,1,"")</f>
        <v/>
      </c>
      <c r="B347" s="190" t="str">
        <f t="shared" ref="B347:B355" si="480">CONCATENATE(LEFT(B346,8),E347)</f>
        <v>SOP.020.2</v>
      </c>
      <c r="C347" s="190" t="str">
        <f>IF(ISBLANK($K347),CONCATENATE(LEFT($B346,8),IF($E347=1,1.1,IF($E347=2,1.4,IF($E347=3,2,IF($E347=4,2.4,IF($E347=5,3,IF($E347=6,3.4,IF($E347=7,4,IF($E347=8,4.4,IF($E347=9,5,IF($E347=10,5.4,IF($E347=11,6,IF($E347=12,6.4,""))))))))))))),CONCATENATE(RIGHT($K347,7),".1"))</f>
        <v>SOP.020.1.4</v>
      </c>
      <c r="D347" s="190" t="str">
        <f>IF(ISBLANK($K347),CONCATENATE(LEFT($B346,8),IF($E347=1,1,IF($E347=2,1.3,IF($E347=3,1.5,IF($E347=4,2,IF($E347=5,2.3,IF($E347=6,2.5,IF($E347=7,3,IF($E347=8,3.3,IF($E347=9,3.5,IF($E347=10,4,IF($E347=11,4.3,IF($E347=12,4.5,""))))))))))))),CONCATENATE(RIGHT($K347,7),".1"))</f>
        <v>SOP.020.1.3</v>
      </c>
      <c r="E347" s="190">
        <f t="shared" si="445"/>
        <v>2</v>
      </c>
      <c r="F347" s="190" t="str">
        <f t="shared" ref="F347:F355" si="481">IF(K347=0,LEFT(F346,16)&amp;TEXT(E347,"00"),K347&amp;"."&amp;TEXT(E347,"00"))</f>
        <v>ALP.BSP.SOP.020.02</v>
      </c>
      <c r="G347" s="190" t="str">
        <f>IF(ISBLANK(N347),"",CONCATENATE(LEFT(F347,15),".",INDEX(Ref!A:A,MATCH(N347,Ref!$K$1:$K$333,0))))</f>
        <v>ALP.BSP.SOP.020.11</v>
      </c>
      <c r="H347" s="181"/>
      <c r="I347" s="183"/>
      <c r="J347" s="181"/>
      <c r="K347" s="181"/>
      <c r="L347" s="182"/>
      <c r="M347" s="182"/>
      <c r="N347" s="183" t="s">
        <v>95</v>
      </c>
      <c r="O347" s="182" t="s">
        <v>411</v>
      </c>
      <c r="P347" s="182" t="s">
        <v>636</v>
      </c>
      <c r="Q347" s="184" t="s">
        <v>89</v>
      </c>
      <c r="R347" s="184" t="s">
        <v>91</v>
      </c>
      <c r="S347" s="185" t="str">
        <f>IFERROR(CLEAN(INDEX('Risk Matrix'!$H$7:$L$11,MATCH($Q347,'Risk Matrix'!$F$7:$F$11,0),MATCH($R347,'Risk Matrix'!$H$6:$L$6,0))),"")</f>
        <v>Low 1</v>
      </c>
      <c r="T347" s="85" t="str">
        <f>IF(LEFT($B347,7)=RIGHT('SOP template'!$B$1,7),_xlfn.NUMBERVALUE(RIGHT($S347,2)),"")</f>
        <v/>
      </c>
      <c r="U347" s="182" t="s">
        <v>902</v>
      </c>
      <c r="V347" s="182" t="s">
        <v>903</v>
      </c>
      <c r="W347" s="182" t="s">
        <v>904</v>
      </c>
      <c r="X347" s="182" t="s">
        <v>905</v>
      </c>
      <c r="Y347" s="182" t="s">
        <v>906</v>
      </c>
      <c r="Z347" s="183"/>
      <c r="AA347" s="186">
        <f>IFERROR(VLOOKUP(IFERROR(LEFT(S347,4),""),Ref!$AF$2:$AG$5,2,0),"")</f>
        <v>36</v>
      </c>
      <c r="AB347" s="146"/>
      <c r="AC347" s="218" t="s">
        <v>290</v>
      </c>
      <c r="AD347" s="187" t="str">
        <f>IFERROR(VLOOKUP(AC347,'Training Matrix'!B$4:C$24,2,0),"")</f>
        <v>WHS Team member</v>
      </c>
      <c r="AE347" s="221">
        <v>45792</v>
      </c>
      <c r="AF347" s="188">
        <f t="shared" si="457"/>
        <v>46522</v>
      </c>
      <c r="AG347" s="189" t="str">
        <f t="shared" ca="1" si="458"/>
        <v>Current</v>
      </c>
      <c r="AH347" s="50" t="str">
        <f t="shared" ref="AH347" si="482">IF(OR(AC347="",AE347=""),"",CONCATENATE(AC347,"_",K346,"_",L346))</f>
        <v>Person 2_ALP.BSP.SOP.020_Moving soiled laundry for collection</v>
      </c>
    </row>
    <row r="348" spans="1:34" ht="45" x14ac:dyDescent="0.25">
      <c r="A348" s="5" t="str">
        <f>IF(LEFT(F348,15)='SOP template'!$B$1,1,"")</f>
        <v/>
      </c>
      <c r="B348" s="190" t="str">
        <f t="shared" si="480"/>
        <v>SOP.020.3</v>
      </c>
      <c r="C348" s="190" t="str">
        <f t="shared" ref="C348:C363" si="483">IF(ISBLANK($K348),CONCATENATE(LEFT($B347,8),IF($E348=1,1.1,IF($E348=2,1.4,IF($E348=3,2,IF($E348=4,2.4,IF($E348=5,3,IF($E348=6,3.4,IF($E348=7,4,IF($E348=8,4.4,IF($E348=9,5,IF($E348=10,5.4,IF($E348=11,6,IF($E348=12,6.4,""))))))))))))),CONCATENATE(RIGHT($K348,7),".1"))</f>
        <v>SOP.020.2</v>
      </c>
      <c r="D348" s="190" t="str">
        <f t="shared" ref="D348:D363" si="484">IF(ISBLANK($K348),CONCATENATE(LEFT($B347,8),IF($E348=1,1,IF($E348=2,1.3,IF($E348=3,1.5,IF($E348=4,2,IF($E348=5,2.3,IF($E348=6,2.5,IF($E348=7,3,IF($E348=8,3.3,IF($E348=9,3.5,IF($E348=10,4,IF($E348=11,4.3,IF($E348=12,4.5,""))))))))))))),CONCATENATE(RIGHT($K348,7),".1"))</f>
        <v>SOP.020.1.5</v>
      </c>
      <c r="E348" s="190">
        <f t="shared" si="445"/>
        <v>3</v>
      </c>
      <c r="F348" s="190" t="str">
        <f t="shared" si="481"/>
        <v>ALP.BSP.SOP.020.03</v>
      </c>
      <c r="G348" s="190" t="str">
        <f>IF(ISBLANK(N348),"",CONCATENATE(LEFT(F348,15),".",INDEX(Ref!A:A,MATCH(N348,Ref!$K$1:$K$333,0))))</f>
        <v>ALP.BSP.SOP.020.14</v>
      </c>
      <c r="H348" s="181"/>
      <c r="I348" s="183"/>
      <c r="J348" s="181"/>
      <c r="K348" s="181"/>
      <c r="L348" s="182"/>
      <c r="M348" s="182"/>
      <c r="N348" s="183" t="s">
        <v>127</v>
      </c>
      <c r="O348" s="182"/>
      <c r="P348" s="182"/>
      <c r="Q348" s="184"/>
      <c r="R348" s="184"/>
      <c r="S348" s="185" t="str">
        <f>IFERROR(CLEAN(INDEX('Risk Matrix'!$H$7:$L$11,MATCH($Q348,'Risk Matrix'!$F$7:$F$11,0),MATCH($R348,'Risk Matrix'!$H$6:$L$6,0))),"")</f>
        <v/>
      </c>
      <c r="T348" s="85" t="str">
        <f>IF(LEFT($B348,7)=RIGHT('SOP template'!$B$1,7),_xlfn.NUMBERVALUE(RIGHT($S348,2)),"")</f>
        <v/>
      </c>
      <c r="U348" s="182"/>
      <c r="V348" s="182"/>
      <c r="W348" s="182" t="s">
        <v>907</v>
      </c>
      <c r="X348" s="182" t="s">
        <v>908</v>
      </c>
      <c r="Y348" s="182" t="s">
        <v>468</v>
      </c>
      <c r="Z348" s="183"/>
      <c r="AA348" s="186" t="str">
        <f>IFERROR(VLOOKUP(IFERROR(LEFT(S348,4),""),Ref!$AF$2:$AG$5,2,0),"")</f>
        <v/>
      </c>
      <c r="AB348" s="146"/>
      <c r="AC348" s="218" t="s">
        <v>167</v>
      </c>
      <c r="AD348" s="187" t="str">
        <f>IFERROR(VLOOKUP(AC348,'Training Matrix'!B$4:C$24,2,0),"")</f>
        <v>Bioscience Manager</v>
      </c>
      <c r="AE348" s="221">
        <v>45792</v>
      </c>
      <c r="AF348" s="188">
        <f t="shared" si="457"/>
        <v>46522</v>
      </c>
      <c r="AG348" s="189" t="str">
        <f t="shared" ca="1" si="458"/>
        <v>Current</v>
      </c>
      <c r="AH348" s="50" t="str">
        <f t="shared" ref="AH348" si="485">IF(OR(AC348="",AE348=""),"",CONCATENATE(AC348,"_",K346,"_",L346))</f>
        <v>Person 3_ALP.BSP.SOP.020_Moving soiled laundry for collection</v>
      </c>
    </row>
    <row r="349" spans="1:34" ht="30" x14ac:dyDescent="0.25">
      <c r="A349" s="5" t="str">
        <f>IF(LEFT(F349,15)='SOP template'!$B$1,1,"")</f>
        <v/>
      </c>
      <c r="B349" s="190" t="str">
        <f t="shared" si="480"/>
        <v>SOP.020.4</v>
      </c>
      <c r="C349" s="190" t="str">
        <f t="shared" si="483"/>
        <v>SOP.020.2.4</v>
      </c>
      <c r="D349" s="190" t="str">
        <f t="shared" si="484"/>
        <v>SOP.020.2</v>
      </c>
      <c r="E349" s="190">
        <f t="shared" si="445"/>
        <v>4</v>
      </c>
      <c r="F349" s="190" t="str">
        <f t="shared" si="481"/>
        <v>ALP.BSP.SOP.020.04</v>
      </c>
      <c r="G349" s="190" t="str">
        <f>IF(ISBLANK(N349),"",CONCATENATE(LEFT(F349,15),".",INDEX(Ref!A:A,MATCH(N349,Ref!$K$1:$K$333,0))))</f>
        <v/>
      </c>
      <c r="H349" s="181"/>
      <c r="I349" s="183"/>
      <c r="J349" s="181"/>
      <c r="K349" s="181"/>
      <c r="L349" s="182"/>
      <c r="M349" s="182"/>
      <c r="N349" s="183"/>
      <c r="O349" s="182"/>
      <c r="P349" s="182"/>
      <c r="Q349" s="184"/>
      <c r="R349" s="184"/>
      <c r="S349" s="185" t="str">
        <f>IFERROR(CLEAN(INDEX('Risk Matrix'!$H$7:$L$11,MATCH($Q349,'Risk Matrix'!$F$7:$F$11,0),MATCH($R349,'Risk Matrix'!$H$6:$L$6,0))),"")</f>
        <v/>
      </c>
      <c r="T349" s="85" t="str">
        <f>IF(LEFT($B349,7)=RIGHT('SOP template'!$B$1,7),_xlfn.NUMBERVALUE(RIGHT($S349,2)),"")</f>
        <v/>
      </c>
      <c r="U349" s="182"/>
      <c r="V349" s="182"/>
      <c r="W349" s="182"/>
      <c r="X349" s="182" t="s">
        <v>909</v>
      </c>
      <c r="Y349" s="182"/>
      <c r="Z349" s="183"/>
      <c r="AA349" s="186" t="str">
        <f>IFERROR(VLOOKUP(IFERROR(LEFT(S349,4),""),Ref!$AF$2:$AG$5,2,0),"")</f>
        <v/>
      </c>
      <c r="AB349" s="146"/>
      <c r="AC349" s="218" t="s">
        <v>168</v>
      </c>
      <c r="AD349" s="187" t="str">
        <f>IFERROR(VLOOKUP(AC349,'Training Matrix'!B$4:C$24,2,0),"")</f>
        <v>Collection Manager</v>
      </c>
      <c r="AE349" s="221">
        <v>45792</v>
      </c>
      <c r="AF349" s="188">
        <f t="shared" si="457"/>
        <v>46522</v>
      </c>
      <c r="AG349" s="189" t="str">
        <f t="shared" ca="1" si="458"/>
        <v>Current</v>
      </c>
      <c r="AH349" s="50" t="str">
        <f t="shared" ref="AH349" si="486">IF(OR(AC349="",AE349=""),"",CONCATENATE(AC349,"_",K346,"_",L346))</f>
        <v>Person 4_ALP.BSP.SOP.020_Moving soiled laundry for collection</v>
      </c>
    </row>
    <row r="350" spans="1:34" ht="30" x14ac:dyDescent="0.25">
      <c r="A350" s="5" t="str">
        <f>IF(LEFT(F350,15)='SOP template'!$B$1,1,"")</f>
        <v/>
      </c>
      <c r="B350" s="190" t="str">
        <f t="shared" si="480"/>
        <v>SOP.020.5</v>
      </c>
      <c r="C350" s="190" t="str">
        <f t="shared" si="483"/>
        <v>SOP.020.3</v>
      </c>
      <c r="D350" s="190" t="str">
        <f t="shared" si="484"/>
        <v>SOP.020.2.3</v>
      </c>
      <c r="E350" s="190">
        <f t="shared" si="445"/>
        <v>5</v>
      </c>
      <c r="F350" s="190" t="str">
        <f t="shared" si="481"/>
        <v>ALP.BSP.SOP.020.05</v>
      </c>
      <c r="G350" s="190" t="str">
        <f>IF(ISBLANK(N350),"",CONCATENATE(LEFT(F350,15),".",INDEX(Ref!A:A,MATCH(N350,Ref!$K$1:$K$333,0))))</f>
        <v/>
      </c>
      <c r="H350" s="181"/>
      <c r="I350" s="183"/>
      <c r="J350" s="181"/>
      <c r="K350" s="181"/>
      <c r="L350" s="182"/>
      <c r="M350" s="182"/>
      <c r="N350" s="183"/>
      <c r="O350" s="182"/>
      <c r="P350" s="182"/>
      <c r="Q350" s="184"/>
      <c r="R350" s="184"/>
      <c r="S350" s="185" t="str">
        <f>IFERROR(CLEAN(INDEX('Risk Matrix'!$H$7:$L$11,MATCH($Q350,'Risk Matrix'!$F$7:$F$11,0),MATCH($R350,'Risk Matrix'!$H$6:$L$6,0))),"")</f>
        <v/>
      </c>
      <c r="T350" s="85" t="str">
        <f>IF(LEFT($B350,7)=RIGHT('SOP template'!$B$1,7),_xlfn.NUMBERVALUE(RIGHT($S350,2)),"")</f>
        <v/>
      </c>
      <c r="U350" s="182"/>
      <c r="V350" s="182"/>
      <c r="W350" s="182"/>
      <c r="X350" s="182" t="s">
        <v>910</v>
      </c>
      <c r="Y350" s="182"/>
      <c r="Z350" s="183"/>
      <c r="AA350" s="186" t="str">
        <f>IFERROR(VLOOKUP(IFERROR(LEFT(S350,4),""),Ref!$AF$2:$AG$5,2,0),"")</f>
        <v/>
      </c>
      <c r="AB350" s="146"/>
      <c r="AC350" s="218" t="s">
        <v>169</v>
      </c>
      <c r="AD350" s="187" t="str">
        <f>IFERROR(VLOOKUP(AC350,'Training Matrix'!B$4:C$24,2,0),"")</f>
        <v>Technician</v>
      </c>
      <c r="AE350" s="221">
        <v>45792</v>
      </c>
      <c r="AF350" s="188">
        <f t="shared" si="457"/>
        <v>46522</v>
      </c>
      <c r="AG350" s="189" t="str">
        <f t="shared" ca="1" si="458"/>
        <v>Current</v>
      </c>
      <c r="AH350" s="50" t="str">
        <f t="shared" ref="AH350" si="487">IF(OR(AC350="",AE350=""),"",CONCATENATE(AC350,"_",K346,"_",L346))</f>
        <v>Person 5_ALP.BSP.SOP.020_Moving soiled laundry for collection</v>
      </c>
    </row>
    <row r="351" spans="1:34" x14ac:dyDescent="0.25">
      <c r="A351" s="5" t="str">
        <f>IF(LEFT(F351,15)='SOP template'!$B$1,1,"")</f>
        <v/>
      </c>
      <c r="B351" s="190" t="str">
        <f t="shared" si="480"/>
        <v>SOP.020.6</v>
      </c>
      <c r="C351" s="190" t="str">
        <f t="shared" si="483"/>
        <v>SOP.020.3.4</v>
      </c>
      <c r="D351" s="190" t="str">
        <f t="shared" si="484"/>
        <v>SOP.020.2.5</v>
      </c>
      <c r="E351" s="190">
        <f t="shared" si="445"/>
        <v>6</v>
      </c>
      <c r="F351" s="190" t="str">
        <f t="shared" si="481"/>
        <v>ALP.BSP.SOP.020.06</v>
      </c>
      <c r="G351" s="190" t="str">
        <f>IF(ISBLANK(N351),"",CONCATENATE(LEFT(F351,15),".",INDEX(Ref!A:A,MATCH(N351,Ref!$K$1:$K$333,0))))</f>
        <v/>
      </c>
      <c r="H351" s="181"/>
      <c r="I351" s="183"/>
      <c r="J351" s="181"/>
      <c r="K351" s="181"/>
      <c r="L351" s="182"/>
      <c r="M351" s="182"/>
      <c r="N351" s="183"/>
      <c r="O351" s="182"/>
      <c r="P351" s="182"/>
      <c r="Q351" s="184"/>
      <c r="R351" s="184"/>
      <c r="S351" s="185" t="str">
        <f>IFERROR(CLEAN(INDEX('Risk Matrix'!$H$7:$L$11,MATCH($Q351,'Risk Matrix'!$F$7:$F$11,0),MATCH($R351,'Risk Matrix'!$H$6:$L$6,0))),"")</f>
        <v/>
      </c>
      <c r="T351" s="85" t="str">
        <f>IF(LEFT($B351,7)=RIGHT('SOP template'!$B$1,7),_xlfn.NUMBERVALUE(RIGHT($S351,2)),"")</f>
        <v/>
      </c>
      <c r="U351" s="182"/>
      <c r="V351" s="182"/>
      <c r="W351" s="182"/>
      <c r="X351" s="182"/>
      <c r="Y351" s="182"/>
      <c r="Z351" s="183"/>
      <c r="AA351" s="186" t="str">
        <f>IFERROR(VLOOKUP(IFERROR(LEFT(S351,4),""),Ref!$AF$2:$AG$5,2,0),"")</f>
        <v/>
      </c>
      <c r="AB351" s="146"/>
      <c r="AC351" s="218" t="s">
        <v>170</v>
      </c>
      <c r="AD351" s="187" t="str">
        <f>IFERROR(VLOOKUP(AC351,'Training Matrix'!B$4:C$24,2,0),"")</f>
        <v>Scientist</v>
      </c>
      <c r="AE351" s="221">
        <v>45792</v>
      </c>
      <c r="AF351" s="188">
        <f t="shared" si="457"/>
        <v>46522</v>
      </c>
      <c r="AG351" s="189" t="str">
        <f t="shared" ca="1" si="458"/>
        <v>Current</v>
      </c>
      <c r="AH351" s="50" t="str">
        <f t="shared" ref="AH351" si="488">IF(OR(AC351="",AE351=""),"",CONCATENATE(AC351,"_",K346,"_",L346))</f>
        <v>Person 6_ALP.BSP.SOP.020_Moving soiled laundry for collection</v>
      </c>
    </row>
    <row r="352" spans="1:34" x14ac:dyDescent="0.25">
      <c r="A352" s="5" t="str">
        <f>IF(LEFT(F352,15)='SOP template'!$B$1,1,"")</f>
        <v/>
      </c>
      <c r="B352" s="190" t="str">
        <f t="shared" si="480"/>
        <v>SOP.020.7</v>
      </c>
      <c r="C352" s="190" t="str">
        <f t="shared" si="483"/>
        <v>SOP.020.4</v>
      </c>
      <c r="D352" s="190" t="str">
        <f t="shared" si="484"/>
        <v>SOP.020.3</v>
      </c>
      <c r="E352" s="190">
        <f t="shared" si="445"/>
        <v>7</v>
      </c>
      <c r="F352" s="190" t="str">
        <f t="shared" si="481"/>
        <v>ALP.BSP.SOP.020.07</v>
      </c>
      <c r="G352" s="190" t="str">
        <f>IF(ISBLANK(N352),"",CONCATENATE(LEFT(F352,15),".",INDEX(Ref!A:A,MATCH(N352,Ref!$K$1:$K$333,0))))</f>
        <v/>
      </c>
      <c r="H352" s="181"/>
      <c r="I352" s="183"/>
      <c r="J352" s="181"/>
      <c r="K352" s="181"/>
      <c r="L352" s="182"/>
      <c r="M352" s="182"/>
      <c r="N352" s="183"/>
      <c r="O352" s="182"/>
      <c r="P352" s="182"/>
      <c r="Q352" s="184"/>
      <c r="R352" s="184"/>
      <c r="S352" s="185" t="str">
        <f>IFERROR(CLEAN(INDEX('Risk Matrix'!$H$7:$L$11,MATCH($Q352,'Risk Matrix'!$F$7:$F$11,0),MATCH($R352,'Risk Matrix'!$H$6:$L$6,0))),"")</f>
        <v/>
      </c>
      <c r="T352" s="85" t="str">
        <f>IF(LEFT($B352,7)=RIGHT('SOP template'!$B$1,7),_xlfn.NUMBERVALUE(RIGHT($S352,2)),"")</f>
        <v/>
      </c>
      <c r="U352" s="182"/>
      <c r="V352" s="182"/>
      <c r="W352" s="182"/>
      <c r="X352" s="182"/>
      <c r="Y352" s="182"/>
      <c r="Z352" s="183"/>
      <c r="AA352" s="186" t="str">
        <f>IFERROR(VLOOKUP(IFERROR(LEFT(S352,4),""),Ref!$AF$2:$AG$5,2,0),"")</f>
        <v/>
      </c>
      <c r="AB352" s="146"/>
      <c r="AC352" s="218"/>
      <c r="AD352" s="187" t="str">
        <f>IFERROR(VLOOKUP(AC352,'Training Matrix'!B$4:C$24,2,0),"")</f>
        <v/>
      </c>
      <c r="AE352" s="218"/>
      <c r="AF352" s="188" t="str">
        <f t="shared" si="457"/>
        <v/>
      </c>
      <c r="AG352" s="189" t="str">
        <f t="shared" ca="1" si="458"/>
        <v/>
      </c>
      <c r="AH352" s="50" t="str">
        <f t="shared" ref="AH352" si="489">IF(OR(AC352="",AE352=""),"",CONCATENATE(AC352,"_",K346,"_",L346))</f>
        <v/>
      </c>
    </row>
    <row r="353" spans="1:34" x14ac:dyDescent="0.25">
      <c r="A353" s="5" t="str">
        <f>IF(LEFT(F353,15)='SOP template'!$B$1,1,"")</f>
        <v/>
      </c>
      <c r="B353" s="190" t="str">
        <f t="shared" si="480"/>
        <v>SOP.020.8</v>
      </c>
      <c r="C353" s="190" t="str">
        <f t="shared" si="483"/>
        <v>SOP.020.4.4</v>
      </c>
      <c r="D353" s="190" t="str">
        <f t="shared" si="484"/>
        <v>SOP.020.3.3</v>
      </c>
      <c r="E353" s="190">
        <f t="shared" si="445"/>
        <v>8</v>
      </c>
      <c r="F353" s="190" t="str">
        <f t="shared" si="481"/>
        <v>ALP.BSP.SOP.020.08</v>
      </c>
      <c r="G353" s="190" t="str">
        <f>IF(ISBLANK(N353),"",CONCATENATE(LEFT(F353,15),".",INDEX(Ref!A:A,MATCH(N353,Ref!$K$1:$K$333,0))))</f>
        <v/>
      </c>
      <c r="H353" s="181"/>
      <c r="I353" s="183"/>
      <c r="J353" s="181"/>
      <c r="K353" s="181"/>
      <c r="L353" s="182"/>
      <c r="M353" s="182"/>
      <c r="N353" s="183"/>
      <c r="O353" s="182"/>
      <c r="P353" s="182"/>
      <c r="Q353" s="184"/>
      <c r="R353" s="184"/>
      <c r="S353" s="185" t="str">
        <f>IFERROR(CLEAN(INDEX('Risk Matrix'!$H$7:$L$11,MATCH($Q353,'Risk Matrix'!$F$7:$F$11,0),MATCH($R353,'Risk Matrix'!$H$6:$L$6,0))),"")</f>
        <v/>
      </c>
      <c r="T353" s="85" t="str">
        <f>IF(LEFT($B353,7)=RIGHT('SOP template'!$B$1,7),_xlfn.NUMBERVALUE(RIGHT($S353,2)),"")</f>
        <v/>
      </c>
      <c r="U353" s="182"/>
      <c r="V353" s="182"/>
      <c r="W353" s="182"/>
      <c r="X353" s="182"/>
      <c r="Y353" s="182"/>
      <c r="Z353" s="183"/>
      <c r="AA353" s="186" t="str">
        <f>IFERROR(VLOOKUP(IFERROR(LEFT(S353,4),""),Ref!$AF$2:$AG$5,2,0),"")</f>
        <v/>
      </c>
      <c r="AB353" s="146"/>
      <c r="AC353" s="218"/>
      <c r="AD353" s="187" t="str">
        <f>IFERROR(VLOOKUP(AC353,'Training Matrix'!B$4:C$24,2,0),"")</f>
        <v/>
      </c>
      <c r="AE353" s="218"/>
      <c r="AF353" s="188" t="str">
        <f t="shared" si="457"/>
        <v/>
      </c>
      <c r="AG353" s="189" t="str">
        <f t="shared" ca="1" si="458"/>
        <v/>
      </c>
      <c r="AH353" s="50" t="str">
        <f t="shared" ref="AH353" si="490">IF(OR(AC353="",AE353=""),"",CONCATENATE(AC353,"_",K346,"_",L346))</f>
        <v/>
      </c>
    </row>
    <row r="354" spans="1:34" x14ac:dyDescent="0.25">
      <c r="A354" s="5" t="str">
        <f>IF(LEFT(F354,15)='SOP template'!$B$1,1,"")</f>
        <v/>
      </c>
      <c r="B354" s="190" t="str">
        <f t="shared" si="480"/>
        <v>SOP.020.9</v>
      </c>
      <c r="C354" s="190" t="str">
        <f t="shared" si="483"/>
        <v>SOP.020.5</v>
      </c>
      <c r="D354" s="190" t="str">
        <f t="shared" si="484"/>
        <v>SOP.020.3.5</v>
      </c>
      <c r="E354" s="190">
        <f t="shared" si="445"/>
        <v>9</v>
      </c>
      <c r="F354" s="190" t="str">
        <f t="shared" si="481"/>
        <v>ALP.BSP.SOP.020.09</v>
      </c>
      <c r="G354" s="190" t="str">
        <f>IF(ISBLANK(N354),"",CONCATENATE(LEFT(F354,15),".",INDEX(Ref!A:A,MATCH(N354,Ref!$K$1:$K$333,0))))</f>
        <v/>
      </c>
      <c r="H354" s="181"/>
      <c r="I354" s="183"/>
      <c r="J354" s="181"/>
      <c r="K354" s="181"/>
      <c r="L354" s="182"/>
      <c r="M354" s="182"/>
      <c r="N354" s="183"/>
      <c r="O354" s="182"/>
      <c r="P354" s="182"/>
      <c r="Q354" s="184"/>
      <c r="R354" s="184"/>
      <c r="S354" s="185" t="str">
        <f>IFERROR(CLEAN(INDEX('Risk Matrix'!$H$7:$L$11,MATCH($Q354,'Risk Matrix'!$F$7:$F$11,0),MATCH($R354,'Risk Matrix'!$H$6:$L$6,0))),"")</f>
        <v/>
      </c>
      <c r="T354" s="85" t="str">
        <f>IF(LEFT($B354,7)=RIGHT('SOP template'!$B$1,7),_xlfn.NUMBERVALUE(RIGHT($S354,2)),"")</f>
        <v/>
      </c>
      <c r="U354" s="182"/>
      <c r="V354" s="182"/>
      <c r="W354" s="182"/>
      <c r="X354" s="182"/>
      <c r="Y354" s="182"/>
      <c r="Z354" s="183"/>
      <c r="AA354" s="186" t="str">
        <f>IFERROR(VLOOKUP(IFERROR(LEFT(S354,4),""),Ref!$AF$2:$AG$5,2,0),"")</f>
        <v/>
      </c>
      <c r="AB354" s="146"/>
      <c r="AC354" s="218"/>
      <c r="AD354" s="187" t="str">
        <f>IFERROR(VLOOKUP(AC354,'Training Matrix'!B$4:C$24,2,0),"")</f>
        <v/>
      </c>
      <c r="AE354" s="218"/>
      <c r="AF354" s="188" t="str">
        <f t="shared" si="457"/>
        <v/>
      </c>
      <c r="AG354" s="189" t="str">
        <f t="shared" ca="1" si="458"/>
        <v/>
      </c>
      <c r="AH354" s="50" t="str">
        <f t="shared" ref="AH354" si="491">IF(OR(AC354="",AE354=""),"",CONCATENATE(AC354,"_",K346,"_",L346))</f>
        <v/>
      </c>
    </row>
    <row r="355" spans="1:34" x14ac:dyDescent="0.25">
      <c r="A355" s="5" t="str">
        <f>IF(LEFT(F355,15)='SOP template'!$B$1,1,"")</f>
        <v/>
      </c>
      <c r="B355" s="190" t="str">
        <f t="shared" si="480"/>
        <v>SOP.020.10</v>
      </c>
      <c r="C355" s="190" t="str">
        <f t="shared" si="483"/>
        <v>SOP.020.5.4</v>
      </c>
      <c r="D355" s="190" t="str">
        <f t="shared" si="484"/>
        <v>SOP.020.4</v>
      </c>
      <c r="E355" s="190">
        <f t="shared" si="445"/>
        <v>10</v>
      </c>
      <c r="F355" s="190" t="str">
        <f t="shared" si="481"/>
        <v>ALP.BSP.SOP.020.10</v>
      </c>
      <c r="G355" s="190" t="str">
        <f>IF(ISBLANK(N355),"",CONCATENATE(LEFT(F355,15),".",INDEX(Ref!A:A,MATCH(N355,Ref!$K$1:$K$333,0))))</f>
        <v/>
      </c>
      <c r="H355" s="181"/>
      <c r="I355" s="183"/>
      <c r="J355" s="181"/>
      <c r="K355" s="181"/>
      <c r="L355" s="182"/>
      <c r="M355" s="182"/>
      <c r="N355" s="183"/>
      <c r="O355" s="182"/>
      <c r="P355" s="182"/>
      <c r="Q355" s="184"/>
      <c r="R355" s="184"/>
      <c r="S355" s="185" t="str">
        <f>IFERROR(CLEAN(INDEX('Risk Matrix'!$H$7:$L$11,MATCH($Q355,'Risk Matrix'!$F$7:$F$11,0),MATCH($R355,'Risk Matrix'!$H$6:$L$6,0))),"")</f>
        <v/>
      </c>
      <c r="T355" s="85" t="str">
        <f>IF(LEFT($B355,7)=RIGHT('SOP template'!$B$1,7),_xlfn.NUMBERVALUE(RIGHT($S355,2)),"")</f>
        <v/>
      </c>
      <c r="U355" s="182"/>
      <c r="V355" s="182"/>
      <c r="W355" s="182"/>
      <c r="X355" s="182"/>
      <c r="Y355" s="182"/>
      <c r="Z355" s="183"/>
      <c r="AA355" s="186" t="str">
        <f>IFERROR(VLOOKUP(IFERROR(LEFT(S355,4),""),Ref!$AF$2:$AG$5,2,0),"")</f>
        <v/>
      </c>
      <c r="AB355" s="146"/>
      <c r="AC355" s="218"/>
      <c r="AD355" s="187" t="str">
        <f>IFERROR(VLOOKUP(AC355,'Training Matrix'!B$4:C$24,2,0),"")</f>
        <v/>
      </c>
      <c r="AE355" s="218"/>
      <c r="AF355" s="188" t="str">
        <f t="shared" si="457"/>
        <v/>
      </c>
      <c r="AG355" s="189" t="str">
        <f t="shared" ca="1" si="458"/>
        <v/>
      </c>
      <c r="AH355" s="50" t="str">
        <f t="shared" ref="AH355" si="492">IF(OR(AC355="",AE355=""),"",CONCATENATE(AC355,"_",K346,"_",L346))</f>
        <v/>
      </c>
    </row>
    <row r="356" spans="1:34" x14ac:dyDescent="0.25">
      <c r="A356" s="5" t="str">
        <f>IF(LEFT(F356,15)='SOP template'!$B$1,1,"")</f>
        <v/>
      </c>
      <c r="B356" s="190" t="str">
        <f t="shared" ref="B356:B363" si="493">CONCATENATE(LEFT(B355,8),E356)</f>
        <v>SOP.020.11</v>
      </c>
      <c r="C356" s="190" t="str">
        <f t="shared" si="483"/>
        <v>SOP.020.6</v>
      </c>
      <c r="D356" s="190" t="str">
        <f t="shared" si="484"/>
        <v>SOP.020.4.3</v>
      </c>
      <c r="E356" s="190">
        <f t="shared" si="445"/>
        <v>11</v>
      </c>
      <c r="F356" s="190" t="str">
        <f t="shared" ref="F356:F363" si="494">IF(K356=0,LEFT(F355,16)&amp;TEXT(E356,"00"),K356&amp;"."&amp;TEXT(E356,"00"))</f>
        <v>ALP.BSP.SOP.020.11</v>
      </c>
      <c r="G356" s="190" t="str">
        <f>IF(ISBLANK(N356),"",CONCATENATE(LEFT(F356,15),".",INDEX(Ref!A:A,MATCH(N356,Ref!$K$1:$K$333,0))))</f>
        <v/>
      </c>
      <c r="H356" s="181"/>
      <c r="I356" s="183"/>
      <c r="J356" s="181"/>
      <c r="K356" s="181"/>
      <c r="L356" s="182"/>
      <c r="M356" s="182"/>
      <c r="N356" s="183"/>
      <c r="O356" s="182"/>
      <c r="P356" s="182"/>
      <c r="Q356" s="184"/>
      <c r="R356" s="184"/>
      <c r="S356" s="185" t="str">
        <f>IFERROR(CLEAN(INDEX('Risk Matrix'!$H$7:$L$11,MATCH($Q356,'Risk Matrix'!$F$7:$F$11,0),MATCH($R356,'Risk Matrix'!$H$6:$L$6,0))),"")</f>
        <v/>
      </c>
      <c r="T356" s="85" t="str">
        <f>IF(LEFT($B356,7)=RIGHT('SOP template'!$B$1,7),_xlfn.NUMBERVALUE(RIGHT($S356,2)),"")</f>
        <v/>
      </c>
      <c r="U356" s="182"/>
      <c r="V356" s="182"/>
      <c r="W356" s="182"/>
      <c r="X356" s="182"/>
      <c r="Y356" s="182"/>
      <c r="Z356" s="183"/>
      <c r="AA356" s="186" t="str">
        <f>IFERROR(VLOOKUP(IFERROR(LEFT(S356,4),""),Ref!$AF$2:$AG$5,2,0),"")</f>
        <v/>
      </c>
      <c r="AB356" s="146"/>
      <c r="AC356" s="218"/>
      <c r="AD356" s="187" t="str">
        <f>IFERROR(VLOOKUP(AC356,'Training Matrix'!B$4:C$24,2,0),"")</f>
        <v/>
      </c>
      <c r="AE356" s="218"/>
      <c r="AF356" s="188" t="str">
        <f t="shared" si="457"/>
        <v/>
      </c>
      <c r="AG356" s="189" t="str">
        <f t="shared" ca="1" si="458"/>
        <v/>
      </c>
      <c r="AH356" s="50" t="str">
        <f t="shared" ref="AH356" si="495">IF(OR(AC356="",AE356=""),"",CONCATENATE(AC356,"_",K346,"_",L346))</f>
        <v/>
      </c>
    </row>
    <row r="357" spans="1:34" x14ac:dyDescent="0.25">
      <c r="A357" s="5" t="str">
        <f>IF(LEFT(F357,15)='SOP template'!$B$1,1,"")</f>
        <v/>
      </c>
      <c r="B357" s="190" t="str">
        <f t="shared" si="493"/>
        <v>SOP.020.12</v>
      </c>
      <c r="C357" s="190" t="str">
        <f t="shared" si="483"/>
        <v>SOP.020.6.4</v>
      </c>
      <c r="D357" s="190" t="str">
        <f t="shared" si="484"/>
        <v>SOP.020.4.5</v>
      </c>
      <c r="E357" s="190">
        <f t="shared" si="445"/>
        <v>12</v>
      </c>
      <c r="F357" s="190" t="str">
        <f t="shared" si="494"/>
        <v>ALP.BSP.SOP.020.12</v>
      </c>
      <c r="G357" s="190" t="str">
        <f>IF(ISBLANK(N357),"",CONCATENATE(LEFT(F357,15),".",INDEX(Ref!A:A,MATCH(N357,Ref!$K$1:$K$333,0))))</f>
        <v/>
      </c>
      <c r="H357" s="181"/>
      <c r="I357" s="183"/>
      <c r="J357" s="181"/>
      <c r="K357" s="181"/>
      <c r="L357" s="182"/>
      <c r="M357" s="182"/>
      <c r="N357" s="183"/>
      <c r="O357" s="182"/>
      <c r="P357" s="182"/>
      <c r="Q357" s="184"/>
      <c r="R357" s="184"/>
      <c r="S357" s="185" t="str">
        <f>IFERROR(CLEAN(INDEX('Risk Matrix'!$H$7:$L$11,MATCH($Q357,'Risk Matrix'!$F$7:$F$11,0),MATCH($R357,'Risk Matrix'!$H$6:$L$6,0))),"")</f>
        <v/>
      </c>
      <c r="T357" s="85" t="str">
        <f>IF(LEFT($B357,7)=RIGHT('SOP template'!$B$1,7),_xlfn.NUMBERVALUE(RIGHT($S357,2)),"")</f>
        <v/>
      </c>
      <c r="U357" s="182"/>
      <c r="V357" s="182"/>
      <c r="W357" s="182"/>
      <c r="X357" s="182"/>
      <c r="Y357" s="182"/>
      <c r="Z357" s="183"/>
      <c r="AA357" s="186" t="str">
        <f>IFERROR(VLOOKUP(IFERROR(LEFT(S357,4),""),Ref!$AF$2:$AG$5,2,0),"")</f>
        <v/>
      </c>
      <c r="AB357" s="146"/>
      <c r="AC357" s="218"/>
      <c r="AD357" s="187" t="str">
        <f>IFERROR(VLOOKUP(AC357,'Training Matrix'!B$4:C$24,2,0),"")</f>
        <v/>
      </c>
      <c r="AE357" s="218"/>
      <c r="AF357" s="188" t="str">
        <f t="shared" si="457"/>
        <v/>
      </c>
      <c r="AG357" s="189" t="str">
        <f t="shared" ca="1" si="458"/>
        <v/>
      </c>
      <c r="AH357" s="50" t="str">
        <f t="shared" ref="AH357" si="496">IF(OR(AC357="",AE357=""),"",CONCATENATE(AC357,"_",K346,"_",L346))</f>
        <v/>
      </c>
    </row>
    <row r="358" spans="1:34" x14ac:dyDescent="0.25">
      <c r="A358" s="5" t="str">
        <f>IF(LEFT(F358,15)='SOP template'!$B$1,1,"")</f>
        <v/>
      </c>
      <c r="B358" s="190" t="str">
        <f t="shared" si="493"/>
        <v>SOP.020.13</v>
      </c>
      <c r="C358" s="190" t="str">
        <f t="shared" si="483"/>
        <v>SOP.020.</v>
      </c>
      <c r="D358" s="190" t="str">
        <f t="shared" si="484"/>
        <v>SOP.020.</v>
      </c>
      <c r="E358" s="190">
        <f t="shared" si="445"/>
        <v>13</v>
      </c>
      <c r="F358" s="190" t="str">
        <f t="shared" si="494"/>
        <v>ALP.BSP.SOP.020.13</v>
      </c>
      <c r="G358" s="190" t="str">
        <f>IF(ISBLANK(N358),"",CONCATENATE(LEFT(F358,15),".",INDEX(Ref!A:A,MATCH(N358,Ref!$K$1:$K$333,0))))</f>
        <v/>
      </c>
      <c r="H358" s="181"/>
      <c r="I358" s="183"/>
      <c r="J358" s="181"/>
      <c r="K358" s="181"/>
      <c r="L358" s="182"/>
      <c r="M358" s="182"/>
      <c r="N358" s="183"/>
      <c r="O358" s="182"/>
      <c r="P358" s="182"/>
      <c r="Q358" s="184"/>
      <c r="R358" s="184"/>
      <c r="S358" s="185" t="str">
        <f>IFERROR(CLEAN(INDEX('Risk Matrix'!$H$7:$L$11,MATCH($Q358,'Risk Matrix'!$F$7:$F$11,0),MATCH($R358,'Risk Matrix'!$H$6:$L$6,0))),"")</f>
        <v/>
      </c>
      <c r="T358" s="85" t="str">
        <f>IF(LEFT($B358,7)=RIGHT('SOP template'!$B$1,7),_xlfn.NUMBERVALUE(RIGHT($S358,2)),"")</f>
        <v/>
      </c>
      <c r="U358" s="182"/>
      <c r="V358" s="182"/>
      <c r="W358" s="182"/>
      <c r="X358" s="182"/>
      <c r="Y358" s="182"/>
      <c r="Z358" s="183"/>
      <c r="AA358" s="186" t="str">
        <f>IFERROR(VLOOKUP(IFERROR(LEFT(S358,4),""),Ref!$AF$2:$AG$5,2,0),"")</f>
        <v/>
      </c>
      <c r="AB358" s="146"/>
      <c r="AC358" s="218"/>
      <c r="AD358" s="187" t="str">
        <f>IFERROR(VLOOKUP(AC358,'Training Matrix'!B$4:C$24,2,0),"")</f>
        <v/>
      </c>
      <c r="AE358" s="218"/>
      <c r="AF358" s="188" t="str">
        <f t="shared" si="457"/>
        <v/>
      </c>
      <c r="AG358" s="189" t="str">
        <f t="shared" ca="1" si="458"/>
        <v/>
      </c>
      <c r="AH358" s="50" t="str">
        <f t="shared" ref="AH358" si="497">IF(OR(AC358="",AE358=""),"",CONCATENATE(AC358,"_",K346,"_",L346))</f>
        <v/>
      </c>
    </row>
    <row r="359" spans="1:34" x14ac:dyDescent="0.25">
      <c r="A359" s="5" t="str">
        <f>IF(LEFT(F359,15)='SOP template'!$B$1,1,"")</f>
        <v/>
      </c>
      <c r="B359" s="190" t="str">
        <f t="shared" si="493"/>
        <v>SOP.020.14</v>
      </c>
      <c r="C359" s="190" t="str">
        <f t="shared" si="483"/>
        <v>SOP.020.</v>
      </c>
      <c r="D359" s="190" t="str">
        <f t="shared" si="484"/>
        <v>SOP.020.</v>
      </c>
      <c r="E359" s="190">
        <f t="shared" si="445"/>
        <v>14</v>
      </c>
      <c r="F359" s="190" t="str">
        <f t="shared" si="494"/>
        <v>ALP.BSP.SOP.020.14</v>
      </c>
      <c r="G359" s="190" t="str">
        <f>IF(ISBLANK(N359),"",CONCATENATE(LEFT(F359,15),".",INDEX(Ref!A:A,MATCH(N359,Ref!$K$1:$K$333,0))))</f>
        <v/>
      </c>
      <c r="H359" s="181"/>
      <c r="I359" s="183"/>
      <c r="J359" s="181"/>
      <c r="K359" s="181"/>
      <c r="L359" s="182"/>
      <c r="M359" s="182"/>
      <c r="N359" s="183"/>
      <c r="O359" s="182"/>
      <c r="P359" s="182"/>
      <c r="Q359" s="184"/>
      <c r="R359" s="184"/>
      <c r="S359" s="185" t="str">
        <f>IFERROR(CLEAN(INDEX('Risk Matrix'!$H$7:$L$11,MATCH($Q359,'Risk Matrix'!$F$7:$F$11,0),MATCH($R359,'Risk Matrix'!$H$6:$L$6,0))),"")</f>
        <v/>
      </c>
      <c r="T359" s="85" t="str">
        <f>IF(LEFT($B359,7)=RIGHT('SOP template'!$B$1,7),_xlfn.NUMBERVALUE(RIGHT($S359,2)),"")</f>
        <v/>
      </c>
      <c r="U359" s="182"/>
      <c r="V359" s="182"/>
      <c r="W359" s="182"/>
      <c r="X359" s="182"/>
      <c r="Y359" s="182"/>
      <c r="Z359" s="183"/>
      <c r="AA359" s="186" t="str">
        <f>IFERROR(VLOOKUP(IFERROR(LEFT(S359,4),""),Ref!$AF$2:$AG$5,2,0),"")</f>
        <v/>
      </c>
      <c r="AB359" s="146"/>
      <c r="AC359" s="218"/>
      <c r="AD359" s="187" t="str">
        <f>IFERROR(VLOOKUP(AC359,'Training Matrix'!B$4:C$24,2,0),"")</f>
        <v/>
      </c>
      <c r="AE359" s="218"/>
      <c r="AF359" s="188" t="str">
        <f t="shared" si="457"/>
        <v/>
      </c>
      <c r="AG359" s="189" t="str">
        <f t="shared" ca="1" si="458"/>
        <v/>
      </c>
      <c r="AH359" s="50" t="str">
        <f t="shared" ref="AH359" si="498">IF(OR(AC359="",AE359=""),"",CONCATENATE(AC359,"_",K346,"_",L346))</f>
        <v/>
      </c>
    </row>
    <row r="360" spans="1:34" x14ac:dyDescent="0.25">
      <c r="A360" s="5" t="str">
        <f>IF(LEFT(F360,15)='SOP template'!$B$1,1,"")</f>
        <v/>
      </c>
      <c r="B360" s="190" t="str">
        <f t="shared" si="493"/>
        <v>SOP.020.15</v>
      </c>
      <c r="C360" s="190" t="str">
        <f t="shared" si="483"/>
        <v>SOP.020.</v>
      </c>
      <c r="D360" s="190" t="str">
        <f t="shared" si="484"/>
        <v>SOP.020.</v>
      </c>
      <c r="E360" s="190">
        <f t="shared" si="445"/>
        <v>15</v>
      </c>
      <c r="F360" s="190" t="str">
        <f t="shared" si="494"/>
        <v>ALP.BSP.SOP.020.15</v>
      </c>
      <c r="G360" s="190" t="str">
        <f>IF(ISBLANK(N360),"",CONCATENATE(LEFT(F360,15),".",INDEX(Ref!A:A,MATCH(N360,Ref!$K$1:$K$333,0))))</f>
        <v/>
      </c>
      <c r="H360" s="181"/>
      <c r="I360" s="183"/>
      <c r="J360" s="181"/>
      <c r="K360" s="181"/>
      <c r="L360" s="182"/>
      <c r="M360" s="182"/>
      <c r="N360" s="183"/>
      <c r="O360" s="182"/>
      <c r="P360" s="182"/>
      <c r="Q360" s="184"/>
      <c r="R360" s="184"/>
      <c r="S360" s="185" t="str">
        <f>IFERROR(CLEAN(INDEX('Risk Matrix'!$H$7:$L$11,MATCH($Q360,'Risk Matrix'!$F$7:$F$11,0),MATCH($R360,'Risk Matrix'!$H$6:$L$6,0))),"")</f>
        <v/>
      </c>
      <c r="T360" s="85" t="str">
        <f>IF(LEFT($B360,7)=RIGHT('SOP template'!$B$1,7),_xlfn.NUMBERVALUE(RIGHT($S360,2)),"")</f>
        <v/>
      </c>
      <c r="U360" s="182"/>
      <c r="V360" s="182"/>
      <c r="W360" s="182"/>
      <c r="X360" s="182"/>
      <c r="Y360" s="182"/>
      <c r="Z360" s="183"/>
      <c r="AA360" s="186" t="str">
        <f>IFERROR(VLOOKUP(IFERROR(LEFT(S360,4),""),Ref!$AF$2:$AG$5,2,0),"")</f>
        <v/>
      </c>
      <c r="AB360" s="146"/>
      <c r="AC360" s="218"/>
      <c r="AD360" s="187" t="str">
        <f>IFERROR(VLOOKUP(AC360,'Training Matrix'!B$4:C$24,2,0),"")</f>
        <v/>
      </c>
      <c r="AE360" s="218"/>
      <c r="AF360" s="188" t="str">
        <f t="shared" si="457"/>
        <v/>
      </c>
      <c r="AG360" s="189" t="str">
        <f t="shared" ca="1" si="458"/>
        <v/>
      </c>
      <c r="AH360" s="50" t="str">
        <f t="shared" ref="AH360" si="499">IF(OR(AC360="",AE360=""),"",CONCATENATE(AC360,"_",K346,"_",L346))</f>
        <v/>
      </c>
    </row>
    <row r="361" spans="1:34" x14ac:dyDescent="0.25">
      <c r="A361" s="5" t="str">
        <f>IF(LEFT(F361,15)='SOP template'!$B$1,1,"")</f>
        <v/>
      </c>
      <c r="B361" s="190" t="str">
        <f t="shared" si="493"/>
        <v>SOP.020.16</v>
      </c>
      <c r="C361" s="190" t="str">
        <f t="shared" si="483"/>
        <v>SOP.020.</v>
      </c>
      <c r="D361" s="190" t="str">
        <f t="shared" si="484"/>
        <v>SOP.020.</v>
      </c>
      <c r="E361" s="190">
        <f t="shared" si="445"/>
        <v>16</v>
      </c>
      <c r="F361" s="190" t="str">
        <f t="shared" si="494"/>
        <v>ALP.BSP.SOP.020.16</v>
      </c>
      <c r="G361" s="190" t="str">
        <f>IF(ISBLANK(N361),"",CONCATENATE(LEFT(F361,15),".",INDEX(Ref!A:A,MATCH(N361,Ref!$K$1:$K$333,0))))</f>
        <v/>
      </c>
      <c r="H361" s="181"/>
      <c r="I361" s="183"/>
      <c r="J361" s="181"/>
      <c r="K361" s="181"/>
      <c r="L361" s="182"/>
      <c r="M361" s="182"/>
      <c r="N361" s="183"/>
      <c r="O361" s="182"/>
      <c r="P361" s="182"/>
      <c r="Q361" s="184"/>
      <c r="R361" s="184"/>
      <c r="S361" s="185" t="str">
        <f>IFERROR(CLEAN(INDEX('Risk Matrix'!$H$7:$L$11,MATCH($Q361,'Risk Matrix'!$F$7:$F$11,0),MATCH($R361,'Risk Matrix'!$H$6:$L$6,0))),"")</f>
        <v/>
      </c>
      <c r="T361" s="85" t="str">
        <f>IF(LEFT($B361,7)=RIGHT('SOP template'!$B$1,7),_xlfn.NUMBERVALUE(RIGHT($S361,2)),"")</f>
        <v/>
      </c>
      <c r="U361" s="182"/>
      <c r="V361" s="182"/>
      <c r="W361" s="182"/>
      <c r="X361" s="182"/>
      <c r="Y361" s="182"/>
      <c r="Z361" s="183"/>
      <c r="AA361" s="186" t="str">
        <f>IFERROR(VLOOKUP(IFERROR(LEFT(S361,4),""),Ref!$AF$2:$AG$5,2,0),"")</f>
        <v/>
      </c>
      <c r="AB361" s="146"/>
      <c r="AC361" s="218"/>
      <c r="AD361" s="187" t="str">
        <f>IFERROR(VLOOKUP(AC361,'Training Matrix'!B$4:C$24,2,0),"")</f>
        <v/>
      </c>
      <c r="AE361" s="218"/>
      <c r="AF361" s="188" t="str">
        <f t="shared" si="457"/>
        <v/>
      </c>
      <c r="AG361" s="189" t="str">
        <f t="shared" ca="1" si="458"/>
        <v/>
      </c>
      <c r="AH361" s="50" t="str">
        <f t="shared" ref="AH361" si="500">IF(OR(AC361="",AE361=""),"",CONCATENATE(AC361,"_",K346,"_",L346))</f>
        <v/>
      </c>
    </row>
    <row r="362" spans="1:34" x14ac:dyDescent="0.25">
      <c r="A362" s="5" t="str">
        <f>IF(LEFT(F362,15)='SOP template'!$B$1,1,"")</f>
        <v/>
      </c>
      <c r="B362" s="190" t="str">
        <f t="shared" si="493"/>
        <v>SOP.020.17</v>
      </c>
      <c r="C362" s="190" t="str">
        <f t="shared" si="483"/>
        <v>SOP.020.</v>
      </c>
      <c r="D362" s="190" t="str">
        <f t="shared" si="484"/>
        <v>SOP.020.</v>
      </c>
      <c r="E362" s="190">
        <f t="shared" si="445"/>
        <v>17</v>
      </c>
      <c r="F362" s="190" t="str">
        <f t="shared" si="494"/>
        <v>ALP.BSP.SOP.020.17</v>
      </c>
      <c r="G362" s="190" t="str">
        <f>IF(ISBLANK(N362),"",CONCATENATE(LEFT(F362,15),".",INDEX(Ref!A:A,MATCH(N362,Ref!$K$1:$K$333,0))))</f>
        <v/>
      </c>
      <c r="H362" s="181"/>
      <c r="I362" s="183"/>
      <c r="J362" s="181"/>
      <c r="K362" s="181"/>
      <c r="L362" s="182"/>
      <c r="M362" s="182"/>
      <c r="N362" s="183"/>
      <c r="O362" s="182"/>
      <c r="P362" s="182"/>
      <c r="Q362" s="184"/>
      <c r="R362" s="184"/>
      <c r="S362" s="185" t="str">
        <f>IFERROR(CLEAN(INDEX('Risk Matrix'!$H$7:$L$11,MATCH($Q362,'Risk Matrix'!$F$7:$F$11,0),MATCH($R362,'Risk Matrix'!$H$6:$L$6,0))),"")</f>
        <v/>
      </c>
      <c r="T362" s="85" t="str">
        <f>IF(LEFT($B362,7)=RIGHT('SOP template'!$B$1,7),_xlfn.NUMBERVALUE(RIGHT($S362,2)),"")</f>
        <v/>
      </c>
      <c r="U362" s="182"/>
      <c r="V362" s="182"/>
      <c r="W362" s="182"/>
      <c r="X362" s="182"/>
      <c r="Y362" s="182"/>
      <c r="Z362" s="183"/>
      <c r="AA362" s="186" t="str">
        <f>IFERROR(VLOOKUP(IFERROR(LEFT(S362,4),""),Ref!$AF$2:$AG$5,2,0),"")</f>
        <v/>
      </c>
      <c r="AB362" s="146"/>
      <c r="AC362" s="218"/>
      <c r="AD362" s="187" t="str">
        <f>IFERROR(VLOOKUP(AC362,'Training Matrix'!B$4:C$24,2,0),"")</f>
        <v/>
      </c>
      <c r="AE362" s="218"/>
      <c r="AF362" s="188" t="str">
        <f t="shared" si="457"/>
        <v/>
      </c>
      <c r="AG362" s="189" t="str">
        <f t="shared" ca="1" si="458"/>
        <v/>
      </c>
      <c r="AH362" s="50" t="str">
        <f t="shared" ref="AH362" si="501">IF(OR(AC362="",AE362=""),"",CONCATENATE(AC362,"_",K346,"_",L346))</f>
        <v/>
      </c>
    </row>
    <row r="363" spans="1:34" x14ac:dyDescent="0.25">
      <c r="A363" s="5" t="str">
        <f>IF(LEFT(F363,15)='SOP template'!$B$1,1,"")</f>
        <v/>
      </c>
      <c r="B363" s="190" t="str">
        <f t="shared" si="493"/>
        <v>SOP.020.18</v>
      </c>
      <c r="C363" s="190" t="str">
        <f t="shared" si="483"/>
        <v>SOP.020.</v>
      </c>
      <c r="D363" s="190" t="str">
        <f t="shared" si="484"/>
        <v>SOP.020.</v>
      </c>
      <c r="E363" s="190">
        <f t="shared" si="445"/>
        <v>18</v>
      </c>
      <c r="F363" s="190" t="str">
        <f t="shared" si="494"/>
        <v>ALP.BSP.SOP.020.18</v>
      </c>
      <c r="G363" s="190" t="str">
        <f>IF(ISBLANK(N363),"",CONCATENATE(LEFT(F363,15),".",INDEX(Ref!A:A,MATCH(N363,Ref!$K$1:$K$333,0))))</f>
        <v/>
      </c>
      <c r="H363" s="181"/>
      <c r="I363" s="183"/>
      <c r="J363" s="181"/>
      <c r="K363" s="181"/>
      <c r="L363" s="182"/>
      <c r="M363" s="182"/>
      <c r="N363" s="183"/>
      <c r="O363" s="182"/>
      <c r="P363" s="182"/>
      <c r="Q363" s="184"/>
      <c r="R363" s="184"/>
      <c r="S363" s="185" t="str">
        <f>IFERROR(CLEAN(INDEX('Risk Matrix'!$H$7:$L$11,MATCH($Q363,'Risk Matrix'!$F$7:$F$11,0),MATCH($R363,'Risk Matrix'!$H$6:$L$6,0))),"")</f>
        <v/>
      </c>
      <c r="T363" s="85" t="str">
        <f>IF(LEFT($B363,7)=RIGHT('SOP template'!$B$1,7),_xlfn.NUMBERVALUE(RIGHT($S363,2)),"")</f>
        <v/>
      </c>
      <c r="U363" s="182"/>
      <c r="V363" s="182"/>
      <c r="W363" s="182"/>
      <c r="X363" s="182"/>
      <c r="Y363" s="182"/>
      <c r="Z363" s="183"/>
      <c r="AA363" s="186" t="str">
        <f>IFERROR(VLOOKUP(IFERROR(LEFT(S363,4),""),Ref!$AF$2:$AG$5,2,0),"")</f>
        <v/>
      </c>
      <c r="AB363" s="146"/>
      <c r="AC363" s="218"/>
      <c r="AD363" s="187" t="str">
        <f>IFERROR(VLOOKUP(AC363,'Training Matrix'!B$4:C$24,2,0),"")</f>
        <v/>
      </c>
      <c r="AE363" s="218"/>
      <c r="AF363" s="188" t="str">
        <f t="shared" si="457"/>
        <v/>
      </c>
      <c r="AG363" s="189" t="str">
        <f t="shared" ca="1" si="458"/>
        <v/>
      </c>
      <c r="AH363" s="50" t="str">
        <f t="shared" ref="AH363" si="502">IF(OR(AC363="",AE363=""),"",CONCATENATE(AC363,"_",K346,"_",L346))</f>
        <v/>
      </c>
    </row>
    <row r="364" spans="1:34" ht="75" x14ac:dyDescent="0.25">
      <c r="A364" s="5" t="str">
        <f>IF(LEFT(F364,15)='SOP template'!$B$1,1,"")</f>
        <v/>
      </c>
      <c r="B364" s="179" t="str">
        <f t="shared" ref="B364" si="503">IF(ISBLANK($K364),CONCATENATE($B$2,".",TEXT(J364,"000"),".",$E364),CONCATENATE(RIGHT($K364,7),".1"))</f>
        <v>SOP.021.1</v>
      </c>
      <c r="C364" s="179" t="str">
        <f>IF(ISBLANK($K364),CONCATENATE(LEFT(#REF!,8),IF($E364=1,1.1,IF($E364=2,1.4,IF($E364=3,2,IF($E364=4,2.4,IF($E364=5,3,IF($E364=6,3.4,IF($E364=7,4,IF($E364=8,4.4,IF($E364=9,5,IF($E364=10,5.4,IF($E364=11,6,IF($E364=12,6.4,""))))))))))))),CONCATENATE(RIGHT($K364,7),".1"))</f>
        <v>SOP.021.1</v>
      </c>
      <c r="D364" s="179" t="str">
        <f>IF(ISBLANK($K364),CONCATENATE(LEFT(#REF!,8),IF($E364=1,1,IF($E364=2,1.3,IF($E364=3,1.5,IF($E364=4,2,IF($E364=5,2.3,IF($E364=6,2.5,IF($E364=7,3,IF($E364=8,3.3,IF($E364=9,3.5,IF($E364=10,4,IF($E364=11,4.3,IF($E364=12,4.5,""))))))))))))),CONCATENATE(RIGHT($K364,7),".1"))</f>
        <v>SOP.021.1</v>
      </c>
      <c r="E364" s="179">
        <f t="shared" si="445"/>
        <v>1</v>
      </c>
      <c r="F364" s="179" t="str">
        <f t="shared" ref="F364" si="504">K364&amp;"."&amp;TEXT(E364,"00")</f>
        <v>ALP.BSP.SOP.021.01</v>
      </c>
      <c r="G364" s="179" t="str">
        <f>IF(ISBLANK(N364),"",CONCATENATE(LEFT(F364,15),".",INDEX(Ref!A:A,MATCH(N364,Ref!$K$1:$K$333,0))))</f>
        <v>ALP.BSP.SOP.021.2</v>
      </c>
      <c r="H364" s="217" t="s">
        <v>394</v>
      </c>
      <c r="I364" s="217" t="s">
        <v>275</v>
      </c>
      <c r="J364" s="180">
        <v>21</v>
      </c>
      <c r="K364" s="181" t="str">
        <f>IFERROR(CONCATENATE(INDEX(Ref!$Z$2:$Z$8,MATCH(H364,Ref!$AA$2:$AA$8,0)),".",I364,".SOP.",TEXT(J364,"000")),CONCATENATE(H364,".",I364,".SOP.",TEXT(J364,"000")))</f>
        <v>ALP.BSP.SOP.021</v>
      </c>
      <c r="L364" s="191" t="s">
        <v>1011</v>
      </c>
      <c r="M364" s="182" t="s">
        <v>1012</v>
      </c>
      <c r="N364" s="183" t="s">
        <v>94</v>
      </c>
      <c r="O364" s="182" t="s">
        <v>411</v>
      </c>
      <c r="P364" s="182" t="s">
        <v>636</v>
      </c>
      <c r="Q364" s="184" t="s">
        <v>92</v>
      </c>
      <c r="R364" s="184" t="s">
        <v>90</v>
      </c>
      <c r="S364" s="185" t="str">
        <f>IFERROR(CLEAN(INDEX('Risk Matrix'!$H$7:$L$11,MATCH($Q364,'Risk Matrix'!$F$7:$F$11,0),MATCH($R364,'Risk Matrix'!$H$6:$L$6,0))),"")</f>
        <v>Medium 2</v>
      </c>
      <c r="T364" s="85" t="str">
        <f>IF(LEFT($B364,7)=RIGHT('SOP template'!$B$1,7),_xlfn.NUMBERVALUE(RIGHT($S364,2)),"")</f>
        <v/>
      </c>
      <c r="U364" s="182" t="s">
        <v>911</v>
      </c>
      <c r="V364" s="182" t="s">
        <v>884</v>
      </c>
      <c r="W364" s="182" t="s">
        <v>912</v>
      </c>
      <c r="X364" s="182" t="s">
        <v>913</v>
      </c>
      <c r="Y364" s="182" t="s">
        <v>914</v>
      </c>
      <c r="Z364" s="182" t="s">
        <v>915</v>
      </c>
      <c r="AA364" s="186">
        <f>IFERROR(VLOOKUP(IFERROR(LEFT(S364,4),""),Ref!$AF$2:$AG$5,2,0),"")</f>
        <v>24</v>
      </c>
      <c r="AB364" s="186">
        <f>MIN($AA364:$AA381)</f>
        <v>24</v>
      </c>
      <c r="AC364" s="218" t="s">
        <v>289</v>
      </c>
      <c r="AD364" s="187" t="str">
        <f>IFERROR(VLOOKUP(AC364,'Training Matrix'!B$4:C$24,2,0),"")</f>
        <v>Dock Manager</v>
      </c>
      <c r="AE364" s="221">
        <v>45792</v>
      </c>
      <c r="AF364" s="188">
        <f t="shared" si="457"/>
        <v>46522</v>
      </c>
      <c r="AG364" s="189" t="str">
        <f t="shared" ca="1" si="458"/>
        <v>Current</v>
      </c>
      <c r="AH364" s="50" t="str">
        <f t="shared" ref="AH364" si="505">IF(OR(AC364="",AE364=""),"",CONCATENATE(AC364,"_",K364,"_",L364))</f>
        <v>Person 1_ALP.BSP.SOP.021_Biological Spill Response within Kurilpa Museum</v>
      </c>
    </row>
    <row r="365" spans="1:34" ht="60" x14ac:dyDescent="0.25">
      <c r="A365" s="5" t="str">
        <f>IF(LEFT(F365,15)='SOP template'!$B$1,1,"")</f>
        <v/>
      </c>
      <c r="B365" s="190" t="str">
        <f t="shared" ref="B365:B373" si="506">CONCATENATE(LEFT(B364,8),E365)</f>
        <v>SOP.021.2</v>
      </c>
      <c r="C365" s="190" t="str">
        <f>IF(ISBLANK($K365),CONCATENATE(LEFT($B364,8),IF($E365=1,1.1,IF($E365=2,1.4,IF($E365=3,2,IF($E365=4,2.4,IF($E365=5,3,IF($E365=6,3.4,IF($E365=7,4,IF($E365=8,4.4,IF($E365=9,5,IF($E365=10,5.4,IF($E365=11,6,IF($E365=12,6.4,""))))))))))))),CONCATENATE(RIGHT($K365,7),".1"))</f>
        <v>SOP.021.1.4</v>
      </c>
      <c r="D365" s="190" t="str">
        <f>IF(ISBLANK($K365),CONCATENATE(LEFT($B364,8),IF($E365=1,1,IF($E365=2,1.3,IF($E365=3,1.5,IF($E365=4,2,IF($E365=5,2.3,IF($E365=6,2.5,IF($E365=7,3,IF($E365=8,3.3,IF($E365=9,3.5,IF($E365=10,4,IF($E365=11,4.3,IF($E365=12,4.5,""))))))))))))),CONCATENATE(RIGHT($K365,7),".1"))</f>
        <v>SOP.021.1.3</v>
      </c>
      <c r="E365" s="190">
        <f t="shared" si="445"/>
        <v>2</v>
      </c>
      <c r="F365" s="190" t="str">
        <f t="shared" ref="F365:F373" si="507">IF(K365=0,LEFT(F364,16)&amp;TEXT(E365,"00"),K365&amp;"."&amp;TEXT(E365,"00"))</f>
        <v>ALP.BSP.SOP.021.02</v>
      </c>
      <c r="G365" s="190" t="str">
        <f>IF(ISBLANK(N365),"",CONCATENATE(LEFT(F365,15),".",INDEX(Ref!A:A,MATCH(N365,Ref!$K$1:$K$333,0))))</f>
        <v>ALP.BSP.SOP.021.7</v>
      </c>
      <c r="H365" s="181"/>
      <c r="I365" s="183"/>
      <c r="J365" s="181"/>
      <c r="K365" s="181"/>
      <c r="L365" s="182"/>
      <c r="M365" s="182"/>
      <c r="N365" s="183" t="s">
        <v>88</v>
      </c>
      <c r="O365" s="182" t="s">
        <v>1008</v>
      </c>
      <c r="P365" s="182" t="s">
        <v>418</v>
      </c>
      <c r="Q365" s="184" t="s">
        <v>89</v>
      </c>
      <c r="R365" s="184" t="s">
        <v>91</v>
      </c>
      <c r="S365" s="185" t="str">
        <f>IFERROR(CLEAN(INDEX('Risk Matrix'!$H$7:$L$11,MATCH($Q365,'Risk Matrix'!$F$7:$F$11,0),MATCH($R365,'Risk Matrix'!$H$6:$L$6,0))),"")</f>
        <v>Low 1</v>
      </c>
      <c r="T365" s="85" t="str">
        <f>IF(LEFT($B365,7)=RIGHT('SOP template'!$B$1,7),_xlfn.NUMBERVALUE(RIGHT($S365,2)),"")</f>
        <v/>
      </c>
      <c r="U365" s="182" t="s">
        <v>887</v>
      </c>
      <c r="V365" s="182" t="s">
        <v>916</v>
      </c>
      <c r="W365" s="182" t="s">
        <v>917</v>
      </c>
      <c r="X365" s="182" t="s">
        <v>918</v>
      </c>
      <c r="Y365" s="182" t="s">
        <v>919</v>
      </c>
      <c r="Z365" s="182" t="s">
        <v>662</v>
      </c>
      <c r="AA365" s="186">
        <f>IFERROR(VLOOKUP(IFERROR(LEFT(S365,4),""),Ref!$AF$2:$AG$5,2,0),"")</f>
        <v>36</v>
      </c>
      <c r="AB365" s="146"/>
      <c r="AC365" s="218" t="s">
        <v>290</v>
      </c>
      <c r="AD365" s="187" t="str">
        <f>IFERROR(VLOOKUP(AC365,'Training Matrix'!B$4:C$24,2,0),"")</f>
        <v>WHS Team member</v>
      </c>
      <c r="AE365" s="221">
        <v>45792</v>
      </c>
      <c r="AF365" s="188">
        <f t="shared" si="457"/>
        <v>46522</v>
      </c>
      <c r="AG365" s="189" t="str">
        <f t="shared" ca="1" si="458"/>
        <v>Current</v>
      </c>
      <c r="AH365" s="50" t="str">
        <f t="shared" ref="AH365" si="508">IF(OR(AC365="",AE365=""),"",CONCATENATE(AC365,"_",K364,"_",L364))</f>
        <v>Person 2_ALP.BSP.SOP.021_Biological Spill Response within Kurilpa Museum</v>
      </c>
    </row>
    <row r="366" spans="1:34" ht="45" x14ac:dyDescent="0.25">
      <c r="A366" s="5" t="str">
        <f>IF(LEFT(F366,15)='SOP template'!$B$1,1,"")</f>
        <v/>
      </c>
      <c r="B366" s="190" t="str">
        <f t="shared" si="506"/>
        <v>SOP.021.3</v>
      </c>
      <c r="C366" s="190" t="str">
        <f t="shared" ref="C366:C381" si="509">IF(ISBLANK($K366),CONCATENATE(LEFT($B365,8),IF($E366=1,1.1,IF($E366=2,1.4,IF($E366=3,2,IF($E366=4,2.4,IF($E366=5,3,IF($E366=6,3.4,IF($E366=7,4,IF($E366=8,4.4,IF($E366=9,5,IF($E366=10,5.4,IF($E366=11,6,IF($E366=12,6.4,""))))))))))))),CONCATENATE(RIGHT($K366,7),".1"))</f>
        <v>SOP.021.2</v>
      </c>
      <c r="D366" s="190" t="str">
        <f t="shared" ref="D366:D381" si="510">IF(ISBLANK($K366),CONCATENATE(LEFT($B365,8),IF($E366=1,1,IF($E366=2,1.3,IF($E366=3,1.5,IF($E366=4,2,IF($E366=5,2.3,IF($E366=6,2.5,IF($E366=7,3,IF($E366=8,3.3,IF($E366=9,3.5,IF($E366=10,4,IF($E366=11,4.3,IF($E366=12,4.5,""))))))))))))),CONCATENATE(RIGHT($K366,7),".1"))</f>
        <v>SOP.021.1.5</v>
      </c>
      <c r="E366" s="190">
        <f t="shared" si="445"/>
        <v>3</v>
      </c>
      <c r="F366" s="190" t="str">
        <f t="shared" si="507"/>
        <v>ALP.BSP.SOP.021.03</v>
      </c>
      <c r="G366" s="190" t="str">
        <f>IF(ISBLANK(N366),"",CONCATENATE(LEFT(F366,15),".",INDEX(Ref!A:A,MATCH(N366,Ref!$K$1:$K$333,0))))</f>
        <v>ALP.BSP.SOP.021.12</v>
      </c>
      <c r="H366" s="181"/>
      <c r="I366" s="183"/>
      <c r="J366" s="181"/>
      <c r="K366" s="181"/>
      <c r="L366" s="182"/>
      <c r="M366" s="182"/>
      <c r="N366" s="183" t="s">
        <v>125</v>
      </c>
      <c r="O366" s="182" t="s">
        <v>548</v>
      </c>
      <c r="P366" s="182" t="s">
        <v>981</v>
      </c>
      <c r="Q366" s="184" t="s">
        <v>89</v>
      </c>
      <c r="R366" s="184" t="s">
        <v>91</v>
      </c>
      <c r="S366" s="185" t="str">
        <f>IFERROR(CLEAN(INDEX('Risk Matrix'!$H$7:$L$11,MATCH($Q366,'Risk Matrix'!$F$7:$F$11,0),MATCH($R366,'Risk Matrix'!$H$6:$L$6,0))),"")</f>
        <v>Low 1</v>
      </c>
      <c r="T366" s="85" t="str">
        <f>IF(LEFT($B366,7)=RIGHT('SOP template'!$B$1,7),_xlfn.NUMBERVALUE(RIGHT($S366,2)),"")</f>
        <v/>
      </c>
      <c r="U366" s="182" t="s">
        <v>494</v>
      </c>
      <c r="V366" s="182"/>
      <c r="W366" s="182" t="s">
        <v>920</v>
      </c>
      <c r="X366" s="182" t="s">
        <v>921</v>
      </c>
      <c r="Y366" s="182" t="s">
        <v>922</v>
      </c>
      <c r="Z366" s="182"/>
      <c r="AA366" s="186">
        <f>IFERROR(VLOOKUP(IFERROR(LEFT(S366,4),""),Ref!$AF$2:$AG$5,2,0),"")</f>
        <v>36</v>
      </c>
      <c r="AB366" s="146"/>
      <c r="AC366" s="218" t="s">
        <v>167</v>
      </c>
      <c r="AD366" s="187" t="str">
        <f>IFERROR(VLOOKUP(AC366,'Training Matrix'!B$4:C$24,2,0),"")</f>
        <v>Bioscience Manager</v>
      </c>
      <c r="AE366" s="221">
        <v>45792</v>
      </c>
      <c r="AF366" s="188">
        <f t="shared" si="457"/>
        <v>46522</v>
      </c>
      <c r="AG366" s="189" t="str">
        <f t="shared" ca="1" si="458"/>
        <v>Current</v>
      </c>
      <c r="AH366" s="50" t="str">
        <f t="shared" ref="AH366" si="511">IF(OR(AC366="",AE366=""),"",CONCATENATE(AC366,"_",K364,"_",L364))</f>
        <v>Person 3_ALP.BSP.SOP.021_Biological Spill Response within Kurilpa Museum</v>
      </c>
    </row>
    <row r="367" spans="1:34" ht="60" x14ac:dyDescent="0.25">
      <c r="A367" s="5" t="str">
        <f>IF(LEFT(F367,15)='SOP template'!$B$1,1,"")</f>
        <v/>
      </c>
      <c r="B367" s="190" t="str">
        <f t="shared" si="506"/>
        <v>SOP.021.4</v>
      </c>
      <c r="C367" s="190" t="str">
        <f t="shared" si="509"/>
        <v>SOP.021.2.4</v>
      </c>
      <c r="D367" s="190" t="str">
        <f t="shared" si="510"/>
        <v>SOP.021.2</v>
      </c>
      <c r="E367" s="190">
        <f t="shared" si="445"/>
        <v>4</v>
      </c>
      <c r="F367" s="190" t="str">
        <f t="shared" si="507"/>
        <v>ALP.BSP.SOP.021.04</v>
      </c>
      <c r="G367" s="190" t="str">
        <f>IF(ISBLANK(N367),"",CONCATENATE(LEFT(F367,15),".",INDEX(Ref!A:A,MATCH(N367,Ref!$K$1:$K$333,0))))</f>
        <v>ALP.BSP.SOP.021.14</v>
      </c>
      <c r="H367" s="181"/>
      <c r="I367" s="183"/>
      <c r="J367" s="181"/>
      <c r="K367" s="181"/>
      <c r="L367" s="182"/>
      <c r="M367" s="182"/>
      <c r="N367" s="183" t="s">
        <v>127</v>
      </c>
      <c r="O367" s="182" t="s">
        <v>413</v>
      </c>
      <c r="P367" s="182" t="s">
        <v>414</v>
      </c>
      <c r="Q367" s="184" t="s">
        <v>89</v>
      </c>
      <c r="R367" s="184" t="s">
        <v>91</v>
      </c>
      <c r="S367" s="185" t="str">
        <f>IFERROR(CLEAN(INDEX('Risk Matrix'!$H$7:$L$11,MATCH($Q367,'Risk Matrix'!$F$7:$F$11,0),MATCH($R367,'Risk Matrix'!$H$6:$L$6,0))),"")</f>
        <v>Low 1</v>
      </c>
      <c r="T367" s="85" t="str">
        <f>IF(LEFT($B367,7)=RIGHT('SOP template'!$B$1,7),_xlfn.NUMBERVALUE(RIGHT($S367,2)),"")</f>
        <v/>
      </c>
      <c r="U367" s="182" t="s">
        <v>817</v>
      </c>
      <c r="V367" s="182"/>
      <c r="W367" s="182" t="s">
        <v>923</v>
      </c>
      <c r="X367" s="182" t="s">
        <v>924</v>
      </c>
      <c r="Y367" s="182" t="s">
        <v>925</v>
      </c>
      <c r="Z367" s="182"/>
      <c r="AA367" s="186">
        <f>IFERROR(VLOOKUP(IFERROR(LEFT(S367,4),""),Ref!$AF$2:$AG$5,2,0),"")</f>
        <v>36</v>
      </c>
      <c r="AB367" s="146"/>
      <c r="AC367" s="218" t="s">
        <v>168</v>
      </c>
      <c r="AD367" s="187" t="str">
        <f>IFERROR(VLOOKUP(AC367,'Training Matrix'!B$4:C$24,2,0),"")</f>
        <v>Collection Manager</v>
      </c>
      <c r="AE367" s="221">
        <v>45792</v>
      </c>
      <c r="AF367" s="188">
        <f t="shared" si="457"/>
        <v>46522</v>
      </c>
      <c r="AG367" s="189" t="str">
        <f t="shared" ca="1" si="458"/>
        <v>Current</v>
      </c>
      <c r="AH367" s="50" t="str">
        <f t="shared" ref="AH367" si="512">IF(OR(AC367="",AE367=""),"",CONCATENATE(AC367,"_",K364,"_",L364))</f>
        <v>Person 4_ALP.BSP.SOP.021_Biological Spill Response within Kurilpa Museum</v>
      </c>
    </row>
    <row r="368" spans="1:34" ht="30" x14ac:dyDescent="0.25">
      <c r="A368" s="5" t="str">
        <f>IF(LEFT(F368,15)='SOP template'!$B$1,1,"")</f>
        <v/>
      </c>
      <c r="B368" s="190" t="str">
        <f t="shared" si="506"/>
        <v>SOP.021.5</v>
      </c>
      <c r="C368" s="190" t="str">
        <f t="shared" si="509"/>
        <v>SOP.021.3</v>
      </c>
      <c r="D368" s="190" t="str">
        <f t="shared" si="510"/>
        <v>SOP.021.2.3</v>
      </c>
      <c r="E368" s="190">
        <f t="shared" si="445"/>
        <v>5</v>
      </c>
      <c r="F368" s="190" t="str">
        <f t="shared" si="507"/>
        <v>ALP.BSP.SOP.021.05</v>
      </c>
      <c r="G368" s="190" t="str">
        <f>IF(ISBLANK(N368),"",CONCATENATE(LEFT(F368,15),".",INDEX(Ref!A:A,MATCH(N368,Ref!$K$1:$K$333,0))))</f>
        <v>ALP.BSP.SOP.021.20</v>
      </c>
      <c r="H368" s="181"/>
      <c r="I368" s="183"/>
      <c r="J368" s="181"/>
      <c r="K368" s="181"/>
      <c r="L368" s="182"/>
      <c r="M368" s="182"/>
      <c r="N368" s="183" t="s">
        <v>133</v>
      </c>
      <c r="O368" s="182" t="s">
        <v>498</v>
      </c>
      <c r="P368" s="182" t="s">
        <v>499</v>
      </c>
      <c r="Q368" s="184" t="s">
        <v>89</v>
      </c>
      <c r="R368" s="184" t="s">
        <v>90</v>
      </c>
      <c r="S368" s="185" t="str">
        <f>IFERROR(CLEAN(INDEX('Risk Matrix'!$H$7:$L$11,MATCH($Q368,'Risk Matrix'!$F$7:$F$11,0),MATCH($R368,'Risk Matrix'!$H$6:$L$6,0))),"")</f>
        <v>Medium 2</v>
      </c>
      <c r="T368" s="85" t="str">
        <f>IF(LEFT($B368,7)=RIGHT('SOP template'!$B$1,7),_xlfn.NUMBERVALUE(RIGHT($S368,2)),"")</f>
        <v/>
      </c>
      <c r="U368" s="182" t="s">
        <v>495</v>
      </c>
      <c r="V368" s="182"/>
      <c r="W368" s="182" t="s">
        <v>926</v>
      </c>
      <c r="X368" s="182" t="s">
        <v>927</v>
      </c>
      <c r="Y368" s="182" t="s">
        <v>928</v>
      </c>
      <c r="Z368" s="182"/>
      <c r="AA368" s="186">
        <f>IFERROR(VLOOKUP(IFERROR(LEFT(S368,4),""),Ref!$AF$2:$AG$5,2,0),"")</f>
        <v>24</v>
      </c>
      <c r="AB368" s="146"/>
      <c r="AC368" s="218" t="s">
        <v>169</v>
      </c>
      <c r="AD368" s="187" t="str">
        <f>IFERROR(VLOOKUP(AC368,'Training Matrix'!B$4:C$24,2,0),"")</f>
        <v>Technician</v>
      </c>
      <c r="AE368" s="221">
        <v>45792</v>
      </c>
      <c r="AF368" s="188">
        <f t="shared" si="457"/>
        <v>46522</v>
      </c>
      <c r="AG368" s="189" t="str">
        <f t="shared" ca="1" si="458"/>
        <v>Current</v>
      </c>
      <c r="AH368" s="50" t="str">
        <f t="shared" ref="AH368" si="513">IF(OR(AC368="",AE368=""),"",CONCATENATE(AC368,"_",K364,"_",L364))</f>
        <v>Person 5_ALP.BSP.SOP.021_Biological Spill Response within Kurilpa Museum</v>
      </c>
    </row>
    <row r="369" spans="1:34" ht="45" x14ac:dyDescent="0.25">
      <c r="A369" s="5" t="str">
        <f>IF(LEFT(F369,15)='SOP template'!$B$1,1,"")</f>
        <v/>
      </c>
      <c r="B369" s="190" t="str">
        <f t="shared" si="506"/>
        <v>SOP.021.6</v>
      </c>
      <c r="C369" s="190" t="str">
        <f t="shared" si="509"/>
        <v>SOP.021.3.4</v>
      </c>
      <c r="D369" s="190" t="str">
        <f t="shared" si="510"/>
        <v>SOP.021.2.5</v>
      </c>
      <c r="E369" s="190">
        <f t="shared" si="445"/>
        <v>6</v>
      </c>
      <c r="F369" s="190" t="str">
        <f t="shared" si="507"/>
        <v>ALP.BSP.SOP.021.06</v>
      </c>
      <c r="G369" s="190" t="str">
        <f>IF(ISBLANK(N369),"",CONCATENATE(LEFT(F369,15),".",INDEX(Ref!A:A,MATCH(N369,Ref!$K$1:$K$333,0))))</f>
        <v/>
      </c>
      <c r="H369" s="181"/>
      <c r="I369" s="183"/>
      <c r="J369" s="181"/>
      <c r="K369" s="181"/>
      <c r="L369" s="182"/>
      <c r="M369" s="182"/>
      <c r="N369" s="183"/>
      <c r="O369" s="182" t="s">
        <v>508</v>
      </c>
      <c r="P369" s="182" t="s">
        <v>980</v>
      </c>
      <c r="Q369" s="184" t="s">
        <v>92</v>
      </c>
      <c r="R369" s="184" t="s">
        <v>90</v>
      </c>
      <c r="S369" s="185" t="str">
        <f>IFERROR(CLEAN(INDEX('Risk Matrix'!$H$7:$L$11,MATCH($Q369,'Risk Matrix'!$F$7:$F$11,0),MATCH($R369,'Risk Matrix'!$H$6:$L$6,0))),"")</f>
        <v>Medium 2</v>
      </c>
      <c r="T369" s="85" t="str">
        <f>IF(LEFT($B369,7)=RIGHT('SOP template'!$B$1,7),_xlfn.NUMBERVALUE(RIGHT($S369,2)),"")</f>
        <v/>
      </c>
      <c r="U369" s="182" t="s">
        <v>517</v>
      </c>
      <c r="V369" s="182"/>
      <c r="W369" s="182" t="s">
        <v>929</v>
      </c>
      <c r="X369" s="182" t="s">
        <v>930</v>
      </c>
      <c r="Y369" s="182" t="s">
        <v>931</v>
      </c>
      <c r="Z369" s="183"/>
      <c r="AA369" s="186">
        <f>IFERROR(VLOOKUP(IFERROR(LEFT(S369,4),""),Ref!$AF$2:$AG$5,2,0),"")</f>
        <v>24</v>
      </c>
      <c r="AB369" s="146"/>
      <c r="AC369" s="218" t="s">
        <v>170</v>
      </c>
      <c r="AD369" s="187" t="str">
        <f>IFERROR(VLOOKUP(AC369,'Training Matrix'!B$4:C$24,2,0),"")</f>
        <v>Scientist</v>
      </c>
      <c r="AE369" s="221">
        <v>45792</v>
      </c>
      <c r="AF369" s="188">
        <f t="shared" si="457"/>
        <v>46522</v>
      </c>
      <c r="AG369" s="189" t="str">
        <f t="shared" ca="1" si="458"/>
        <v>Current</v>
      </c>
      <c r="AH369" s="50" t="str">
        <f t="shared" ref="AH369" si="514">IF(OR(AC369="",AE369=""),"",CONCATENATE(AC369,"_",K364,"_",L364))</f>
        <v>Person 6_ALP.BSP.SOP.021_Biological Spill Response within Kurilpa Museum</v>
      </c>
    </row>
    <row r="370" spans="1:34" ht="45" x14ac:dyDescent="0.25">
      <c r="A370" s="5" t="str">
        <f>IF(LEFT(F370,15)='SOP template'!$B$1,1,"")</f>
        <v/>
      </c>
      <c r="B370" s="190" t="str">
        <f t="shared" si="506"/>
        <v>SOP.021.7</v>
      </c>
      <c r="C370" s="190" t="str">
        <f t="shared" si="509"/>
        <v>SOP.021.4</v>
      </c>
      <c r="D370" s="190" t="str">
        <f t="shared" si="510"/>
        <v>SOP.021.3</v>
      </c>
      <c r="E370" s="190">
        <f t="shared" si="445"/>
        <v>7</v>
      </c>
      <c r="F370" s="190" t="str">
        <f t="shared" si="507"/>
        <v>ALP.BSP.SOP.021.07</v>
      </c>
      <c r="G370" s="190" t="str">
        <f>IF(ISBLANK(N370),"",CONCATENATE(LEFT(F370,15),".",INDEX(Ref!A:A,MATCH(N370,Ref!$K$1:$K$333,0))))</f>
        <v/>
      </c>
      <c r="H370" s="181"/>
      <c r="I370" s="183"/>
      <c r="J370" s="181"/>
      <c r="K370" s="181"/>
      <c r="L370" s="182"/>
      <c r="M370" s="182"/>
      <c r="N370" s="183"/>
      <c r="O370" s="182"/>
      <c r="P370" s="182"/>
      <c r="Q370" s="184"/>
      <c r="R370" s="184"/>
      <c r="S370" s="185" t="str">
        <f>IFERROR(CLEAN(INDEX('Risk Matrix'!$H$7:$L$11,MATCH($Q370,'Risk Matrix'!$F$7:$F$11,0),MATCH($R370,'Risk Matrix'!$H$6:$L$6,0))),"")</f>
        <v/>
      </c>
      <c r="T370" s="85" t="str">
        <f>IF(LEFT($B370,7)=RIGHT('SOP template'!$B$1,7),_xlfn.NUMBERVALUE(RIGHT($S370,2)),"")</f>
        <v/>
      </c>
      <c r="U370" s="182"/>
      <c r="V370" s="182"/>
      <c r="W370" s="182" t="s">
        <v>932</v>
      </c>
      <c r="X370" s="182" t="s">
        <v>894</v>
      </c>
      <c r="Y370" s="182" t="s">
        <v>933</v>
      </c>
      <c r="Z370" s="183"/>
      <c r="AA370" s="186" t="str">
        <f>IFERROR(VLOOKUP(IFERROR(LEFT(S370,4),""),Ref!$AF$2:$AG$5,2,0),"")</f>
        <v/>
      </c>
      <c r="AB370" s="146"/>
      <c r="AC370" s="218"/>
      <c r="AD370" s="187" t="str">
        <f>IFERROR(VLOOKUP(AC370,'Training Matrix'!B$4:C$24,2,0),"")</f>
        <v/>
      </c>
      <c r="AE370" s="218"/>
      <c r="AF370" s="188" t="str">
        <f t="shared" si="457"/>
        <v/>
      </c>
      <c r="AG370" s="189" t="str">
        <f t="shared" ca="1" si="458"/>
        <v/>
      </c>
      <c r="AH370" s="50" t="str">
        <f t="shared" ref="AH370" si="515">IF(OR(AC370="",AE370=""),"",CONCATENATE(AC370,"_",K364,"_",L364))</f>
        <v/>
      </c>
    </row>
    <row r="371" spans="1:34" ht="30" x14ac:dyDescent="0.25">
      <c r="A371" s="5" t="str">
        <f>IF(LEFT(F371,15)='SOP template'!$B$1,1,"")</f>
        <v/>
      </c>
      <c r="B371" s="190" t="str">
        <f t="shared" si="506"/>
        <v>SOP.021.8</v>
      </c>
      <c r="C371" s="190" t="str">
        <f t="shared" si="509"/>
        <v>SOP.021.4.4</v>
      </c>
      <c r="D371" s="190" t="str">
        <f t="shared" si="510"/>
        <v>SOP.021.3.3</v>
      </c>
      <c r="E371" s="190">
        <f t="shared" si="445"/>
        <v>8</v>
      </c>
      <c r="F371" s="190" t="str">
        <f t="shared" si="507"/>
        <v>ALP.BSP.SOP.021.08</v>
      </c>
      <c r="G371" s="190" t="str">
        <f>IF(ISBLANK(N371),"",CONCATENATE(LEFT(F371,15),".",INDEX(Ref!A:A,MATCH(N371,Ref!$K$1:$K$333,0))))</f>
        <v/>
      </c>
      <c r="H371" s="181"/>
      <c r="I371" s="183"/>
      <c r="J371" s="181"/>
      <c r="K371" s="181"/>
      <c r="L371" s="182"/>
      <c r="M371" s="182"/>
      <c r="N371" s="183"/>
      <c r="O371" s="182"/>
      <c r="P371" s="182"/>
      <c r="Q371" s="184"/>
      <c r="R371" s="184"/>
      <c r="S371" s="185" t="str">
        <f>IFERROR(CLEAN(INDEX('Risk Matrix'!$H$7:$L$11,MATCH($Q371,'Risk Matrix'!$F$7:$F$11,0),MATCH($R371,'Risk Matrix'!$H$6:$L$6,0))),"")</f>
        <v/>
      </c>
      <c r="T371" s="85" t="str">
        <f>IF(LEFT($B371,7)=RIGHT('SOP template'!$B$1,7),_xlfn.NUMBERVALUE(RIGHT($S371,2)),"")</f>
        <v/>
      </c>
      <c r="U371" s="182"/>
      <c r="V371" s="182"/>
      <c r="W371" s="182"/>
      <c r="X371" s="182" t="s">
        <v>934</v>
      </c>
      <c r="Y371" s="182" t="s">
        <v>440</v>
      </c>
      <c r="Z371" s="183"/>
      <c r="AA371" s="186" t="str">
        <f>IFERROR(VLOOKUP(IFERROR(LEFT(S371,4),""),Ref!$AF$2:$AG$5,2,0),"")</f>
        <v/>
      </c>
      <c r="AB371" s="146"/>
      <c r="AC371" s="218"/>
      <c r="AD371" s="187" t="str">
        <f>IFERROR(VLOOKUP(AC371,'Training Matrix'!B$4:C$24,2,0),"")</f>
        <v/>
      </c>
      <c r="AE371" s="218"/>
      <c r="AF371" s="188" t="str">
        <f t="shared" si="457"/>
        <v/>
      </c>
      <c r="AG371" s="189" t="str">
        <f t="shared" ca="1" si="458"/>
        <v/>
      </c>
      <c r="AH371" s="50" t="str">
        <f t="shared" ref="AH371" si="516">IF(OR(AC371="",AE371=""),"",CONCATENATE(AC371,"_",K364,"_",L364))</f>
        <v/>
      </c>
    </row>
    <row r="372" spans="1:34" ht="30" x14ac:dyDescent="0.25">
      <c r="A372" s="5" t="str">
        <f>IF(LEFT(F372,15)='SOP template'!$B$1,1,"")</f>
        <v/>
      </c>
      <c r="B372" s="190" t="str">
        <f t="shared" si="506"/>
        <v>SOP.021.9</v>
      </c>
      <c r="C372" s="190" t="str">
        <f t="shared" si="509"/>
        <v>SOP.021.5</v>
      </c>
      <c r="D372" s="190" t="str">
        <f t="shared" si="510"/>
        <v>SOP.021.3.5</v>
      </c>
      <c r="E372" s="190">
        <f t="shared" si="445"/>
        <v>9</v>
      </c>
      <c r="F372" s="190" t="str">
        <f t="shared" si="507"/>
        <v>ALP.BSP.SOP.021.09</v>
      </c>
      <c r="G372" s="190" t="str">
        <f>IF(ISBLANK(N372),"",CONCATENATE(LEFT(F372,15),".",INDEX(Ref!A:A,MATCH(N372,Ref!$K$1:$K$333,0))))</f>
        <v/>
      </c>
      <c r="H372" s="181"/>
      <c r="I372" s="183"/>
      <c r="J372" s="181"/>
      <c r="K372" s="181"/>
      <c r="L372" s="182"/>
      <c r="M372" s="182"/>
      <c r="N372" s="183"/>
      <c r="O372" s="182"/>
      <c r="P372" s="182"/>
      <c r="Q372" s="184"/>
      <c r="R372" s="184"/>
      <c r="S372" s="185" t="str">
        <f>IFERROR(CLEAN(INDEX('Risk Matrix'!$H$7:$L$11,MATCH($Q372,'Risk Matrix'!$F$7:$F$11,0),MATCH($R372,'Risk Matrix'!$H$6:$L$6,0))),"")</f>
        <v/>
      </c>
      <c r="T372" s="85" t="str">
        <f>IF(LEFT($B372,7)=RIGHT('SOP template'!$B$1,7),_xlfn.NUMBERVALUE(RIGHT($S372,2)),"")</f>
        <v/>
      </c>
      <c r="U372" s="182"/>
      <c r="V372" s="182"/>
      <c r="W372" s="182"/>
      <c r="X372" s="182" t="s">
        <v>935</v>
      </c>
      <c r="Y372" s="182"/>
      <c r="Z372" s="183"/>
      <c r="AA372" s="186" t="str">
        <f>IFERROR(VLOOKUP(IFERROR(LEFT(S372,4),""),Ref!$AF$2:$AG$5,2,0),"")</f>
        <v/>
      </c>
      <c r="AB372" s="146"/>
      <c r="AC372" s="218"/>
      <c r="AD372" s="187" t="str">
        <f>IFERROR(VLOOKUP(AC372,'Training Matrix'!B$4:C$24,2,0),"")</f>
        <v/>
      </c>
      <c r="AE372" s="218"/>
      <c r="AF372" s="188" t="str">
        <f t="shared" si="457"/>
        <v/>
      </c>
      <c r="AG372" s="189" t="str">
        <f t="shared" ca="1" si="458"/>
        <v/>
      </c>
      <c r="AH372" s="50" t="str">
        <f t="shared" ref="AH372" si="517">IF(OR(AC372="",AE372=""),"",CONCATENATE(AC372,"_",K364,"_",L364))</f>
        <v/>
      </c>
    </row>
    <row r="373" spans="1:34" x14ac:dyDescent="0.25">
      <c r="A373" s="5" t="str">
        <f>IF(LEFT(F373,15)='SOP template'!$B$1,1,"")</f>
        <v/>
      </c>
      <c r="B373" s="190" t="str">
        <f t="shared" si="506"/>
        <v>SOP.021.10</v>
      </c>
      <c r="C373" s="190" t="str">
        <f t="shared" si="509"/>
        <v>SOP.021.5.4</v>
      </c>
      <c r="D373" s="190" t="str">
        <f t="shared" si="510"/>
        <v>SOP.021.4</v>
      </c>
      <c r="E373" s="190">
        <f t="shared" si="445"/>
        <v>10</v>
      </c>
      <c r="F373" s="190" t="str">
        <f t="shared" si="507"/>
        <v>ALP.BSP.SOP.021.10</v>
      </c>
      <c r="G373" s="190" t="str">
        <f>IF(ISBLANK(N373),"",CONCATENATE(LEFT(F373,15),".",INDEX(Ref!A:A,MATCH(N373,Ref!$K$1:$K$333,0))))</f>
        <v/>
      </c>
      <c r="H373" s="181"/>
      <c r="I373" s="183"/>
      <c r="J373" s="181"/>
      <c r="K373" s="181"/>
      <c r="L373" s="182"/>
      <c r="M373" s="182"/>
      <c r="N373" s="183"/>
      <c r="O373" s="182"/>
      <c r="P373" s="182"/>
      <c r="Q373" s="184"/>
      <c r="R373" s="184"/>
      <c r="S373" s="185" t="str">
        <f>IFERROR(CLEAN(INDEX('Risk Matrix'!$H$7:$L$11,MATCH($Q373,'Risk Matrix'!$F$7:$F$11,0),MATCH($R373,'Risk Matrix'!$H$6:$L$6,0))),"")</f>
        <v/>
      </c>
      <c r="T373" s="85" t="str">
        <f>IF(LEFT($B373,7)=RIGHT('SOP template'!$B$1,7),_xlfn.NUMBERVALUE(RIGHT($S373,2)),"")</f>
        <v/>
      </c>
      <c r="U373" s="182"/>
      <c r="V373" s="182"/>
      <c r="W373" s="182"/>
      <c r="X373" s="182"/>
      <c r="Y373" s="182"/>
      <c r="Z373" s="183"/>
      <c r="AA373" s="186" t="str">
        <f>IFERROR(VLOOKUP(IFERROR(LEFT(S373,4),""),Ref!$AF$2:$AG$5,2,0),"")</f>
        <v/>
      </c>
      <c r="AB373" s="146"/>
      <c r="AC373" s="218"/>
      <c r="AD373" s="187" t="str">
        <f>IFERROR(VLOOKUP(AC373,'Training Matrix'!B$4:C$24,2,0),"")</f>
        <v/>
      </c>
      <c r="AE373" s="218"/>
      <c r="AF373" s="188" t="str">
        <f t="shared" si="457"/>
        <v/>
      </c>
      <c r="AG373" s="189" t="str">
        <f t="shared" ca="1" si="458"/>
        <v/>
      </c>
      <c r="AH373" s="50" t="str">
        <f t="shared" ref="AH373" si="518">IF(OR(AC373="",AE373=""),"",CONCATENATE(AC373,"_",K364,"_",L364))</f>
        <v/>
      </c>
    </row>
    <row r="374" spans="1:34" x14ac:dyDescent="0.25">
      <c r="A374" s="5" t="str">
        <f>IF(LEFT(F374,15)='SOP template'!$B$1,1,"")</f>
        <v/>
      </c>
      <c r="B374" s="190" t="str">
        <f t="shared" ref="B374:B381" si="519">CONCATENATE(LEFT(B373,8),E374)</f>
        <v>SOP.021.11</v>
      </c>
      <c r="C374" s="190" t="str">
        <f t="shared" si="509"/>
        <v>SOP.021.6</v>
      </c>
      <c r="D374" s="190" t="str">
        <f t="shared" si="510"/>
        <v>SOP.021.4.3</v>
      </c>
      <c r="E374" s="190">
        <f t="shared" si="445"/>
        <v>11</v>
      </c>
      <c r="F374" s="190" t="str">
        <f t="shared" ref="F374:F381" si="520">IF(K374=0,LEFT(F373,16)&amp;TEXT(E374,"00"),K374&amp;"."&amp;TEXT(E374,"00"))</f>
        <v>ALP.BSP.SOP.021.11</v>
      </c>
      <c r="G374" s="190" t="str">
        <f>IF(ISBLANK(N374),"",CONCATENATE(LEFT(F374,15),".",INDEX(Ref!A:A,MATCH(N374,Ref!$K$1:$K$333,0))))</f>
        <v/>
      </c>
      <c r="H374" s="181"/>
      <c r="I374" s="183"/>
      <c r="J374" s="181"/>
      <c r="K374" s="181"/>
      <c r="L374" s="182"/>
      <c r="M374" s="182"/>
      <c r="N374" s="183"/>
      <c r="O374" s="182"/>
      <c r="P374" s="182"/>
      <c r="Q374" s="184"/>
      <c r="R374" s="184"/>
      <c r="S374" s="185" t="str">
        <f>IFERROR(CLEAN(INDEX('Risk Matrix'!$H$7:$L$11,MATCH($Q374,'Risk Matrix'!$F$7:$F$11,0),MATCH($R374,'Risk Matrix'!$H$6:$L$6,0))),"")</f>
        <v/>
      </c>
      <c r="T374" s="85" t="str">
        <f>IF(LEFT($B374,7)=RIGHT('SOP template'!$B$1,7),_xlfn.NUMBERVALUE(RIGHT($S374,2)),"")</f>
        <v/>
      </c>
      <c r="U374" s="182"/>
      <c r="V374" s="182"/>
      <c r="W374" s="182"/>
      <c r="X374" s="182"/>
      <c r="Y374" s="182"/>
      <c r="Z374" s="183"/>
      <c r="AA374" s="186" t="str">
        <f>IFERROR(VLOOKUP(IFERROR(LEFT(S374,4),""),Ref!$AF$2:$AG$5,2,0),"")</f>
        <v/>
      </c>
      <c r="AB374" s="146"/>
      <c r="AC374" s="218"/>
      <c r="AD374" s="187" t="str">
        <f>IFERROR(VLOOKUP(AC374,'Training Matrix'!B$4:C$24,2,0),"")</f>
        <v/>
      </c>
      <c r="AE374" s="218"/>
      <c r="AF374" s="188" t="str">
        <f t="shared" si="457"/>
        <v/>
      </c>
      <c r="AG374" s="189" t="str">
        <f t="shared" ca="1" si="458"/>
        <v/>
      </c>
      <c r="AH374" s="50" t="str">
        <f t="shared" ref="AH374" si="521">IF(OR(AC374="",AE374=""),"",CONCATENATE(AC374,"_",K364,"_",L364))</f>
        <v/>
      </c>
    </row>
    <row r="375" spans="1:34" x14ac:dyDescent="0.25">
      <c r="A375" s="5" t="str">
        <f>IF(LEFT(F375,15)='SOP template'!$B$1,1,"")</f>
        <v/>
      </c>
      <c r="B375" s="190" t="str">
        <f t="shared" si="519"/>
        <v>SOP.021.12</v>
      </c>
      <c r="C375" s="190" t="str">
        <f t="shared" si="509"/>
        <v>SOP.021.6.4</v>
      </c>
      <c r="D375" s="190" t="str">
        <f t="shared" si="510"/>
        <v>SOP.021.4.5</v>
      </c>
      <c r="E375" s="190">
        <f t="shared" si="445"/>
        <v>12</v>
      </c>
      <c r="F375" s="190" t="str">
        <f t="shared" si="520"/>
        <v>ALP.BSP.SOP.021.12</v>
      </c>
      <c r="G375" s="190" t="str">
        <f>IF(ISBLANK(N375),"",CONCATENATE(LEFT(F375,15),".",INDEX(Ref!A:A,MATCH(N375,Ref!$K$1:$K$333,0))))</f>
        <v/>
      </c>
      <c r="H375" s="181"/>
      <c r="I375" s="183"/>
      <c r="J375" s="181"/>
      <c r="K375" s="181"/>
      <c r="L375" s="182"/>
      <c r="M375" s="182"/>
      <c r="N375" s="183"/>
      <c r="O375" s="182"/>
      <c r="P375" s="182"/>
      <c r="Q375" s="184"/>
      <c r="R375" s="184"/>
      <c r="S375" s="185" t="str">
        <f>IFERROR(CLEAN(INDEX('Risk Matrix'!$H$7:$L$11,MATCH($Q375,'Risk Matrix'!$F$7:$F$11,0),MATCH($R375,'Risk Matrix'!$H$6:$L$6,0))),"")</f>
        <v/>
      </c>
      <c r="T375" s="85" t="str">
        <f>IF(LEFT($B375,7)=RIGHT('SOP template'!$B$1,7),_xlfn.NUMBERVALUE(RIGHT($S375,2)),"")</f>
        <v/>
      </c>
      <c r="U375" s="182"/>
      <c r="V375" s="182"/>
      <c r="W375" s="182"/>
      <c r="X375" s="182"/>
      <c r="Y375" s="182"/>
      <c r="Z375" s="183"/>
      <c r="AA375" s="186" t="str">
        <f>IFERROR(VLOOKUP(IFERROR(LEFT(S375,4),""),Ref!$AF$2:$AG$5,2,0),"")</f>
        <v/>
      </c>
      <c r="AB375" s="146"/>
      <c r="AC375" s="218"/>
      <c r="AD375" s="187" t="str">
        <f>IFERROR(VLOOKUP(AC375,'Training Matrix'!B$4:C$24,2,0),"")</f>
        <v/>
      </c>
      <c r="AE375" s="218"/>
      <c r="AF375" s="188" t="str">
        <f t="shared" si="457"/>
        <v/>
      </c>
      <c r="AG375" s="189" t="str">
        <f t="shared" ca="1" si="458"/>
        <v/>
      </c>
      <c r="AH375" s="50" t="str">
        <f t="shared" ref="AH375" si="522">IF(OR(AC375="",AE375=""),"",CONCATENATE(AC375,"_",K364,"_",L364))</f>
        <v/>
      </c>
    </row>
    <row r="376" spans="1:34" x14ac:dyDescent="0.25">
      <c r="A376" s="5" t="str">
        <f>IF(LEFT(F376,15)='SOP template'!$B$1,1,"")</f>
        <v/>
      </c>
      <c r="B376" s="190" t="str">
        <f t="shared" si="519"/>
        <v>SOP.021.13</v>
      </c>
      <c r="C376" s="190" t="str">
        <f t="shared" si="509"/>
        <v>SOP.021.</v>
      </c>
      <c r="D376" s="190" t="str">
        <f t="shared" si="510"/>
        <v>SOP.021.</v>
      </c>
      <c r="E376" s="190">
        <f t="shared" si="445"/>
        <v>13</v>
      </c>
      <c r="F376" s="190" t="str">
        <f t="shared" si="520"/>
        <v>ALP.BSP.SOP.021.13</v>
      </c>
      <c r="G376" s="190" t="str">
        <f>IF(ISBLANK(N376),"",CONCATENATE(LEFT(F376,15),".",INDEX(Ref!A:A,MATCH(N376,Ref!$K$1:$K$333,0))))</f>
        <v/>
      </c>
      <c r="H376" s="181"/>
      <c r="I376" s="183"/>
      <c r="J376" s="181"/>
      <c r="K376" s="181"/>
      <c r="L376" s="182"/>
      <c r="M376" s="182"/>
      <c r="N376" s="183"/>
      <c r="O376" s="182"/>
      <c r="P376" s="182"/>
      <c r="Q376" s="184"/>
      <c r="R376" s="184"/>
      <c r="S376" s="185" t="str">
        <f>IFERROR(CLEAN(INDEX('Risk Matrix'!$H$7:$L$11,MATCH($Q376,'Risk Matrix'!$F$7:$F$11,0),MATCH($R376,'Risk Matrix'!$H$6:$L$6,0))),"")</f>
        <v/>
      </c>
      <c r="T376" s="85" t="str">
        <f>IF(LEFT($B376,7)=RIGHT('SOP template'!$B$1,7),_xlfn.NUMBERVALUE(RIGHT($S376,2)),"")</f>
        <v/>
      </c>
      <c r="U376" s="182"/>
      <c r="V376" s="182"/>
      <c r="W376" s="182"/>
      <c r="X376" s="182"/>
      <c r="Y376" s="182"/>
      <c r="Z376" s="183"/>
      <c r="AA376" s="186" t="str">
        <f>IFERROR(VLOOKUP(IFERROR(LEFT(S376,4),""),Ref!$AF$2:$AG$5,2,0),"")</f>
        <v/>
      </c>
      <c r="AB376" s="146"/>
      <c r="AC376" s="218"/>
      <c r="AD376" s="187" t="str">
        <f>IFERROR(VLOOKUP(AC376,'Training Matrix'!B$4:C$24,2,0),"")</f>
        <v/>
      </c>
      <c r="AE376" s="218"/>
      <c r="AF376" s="188" t="str">
        <f t="shared" si="457"/>
        <v/>
      </c>
      <c r="AG376" s="189" t="str">
        <f t="shared" ca="1" si="458"/>
        <v/>
      </c>
      <c r="AH376" s="50" t="str">
        <f t="shared" ref="AH376" si="523">IF(OR(AC376="",AE376=""),"",CONCATENATE(AC376,"_",K364,"_",L364))</f>
        <v/>
      </c>
    </row>
    <row r="377" spans="1:34" x14ac:dyDescent="0.25">
      <c r="A377" s="5" t="str">
        <f>IF(LEFT(F377,15)='SOP template'!$B$1,1,"")</f>
        <v/>
      </c>
      <c r="B377" s="190" t="str">
        <f t="shared" si="519"/>
        <v>SOP.021.14</v>
      </c>
      <c r="C377" s="190" t="str">
        <f t="shared" si="509"/>
        <v>SOP.021.</v>
      </c>
      <c r="D377" s="190" t="str">
        <f t="shared" si="510"/>
        <v>SOP.021.</v>
      </c>
      <c r="E377" s="190">
        <f t="shared" si="445"/>
        <v>14</v>
      </c>
      <c r="F377" s="190" t="str">
        <f t="shared" si="520"/>
        <v>ALP.BSP.SOP.021.14</v>
      </c>
      <c r="G377" s="190" t="str">
        <f>IF(ISBLANK(N377),"",CONCATENATE(LEFT(F377,15),".",INDEX(Ref!A:A,MATCH(N377,Ref!$K$1:$K$333,0))))</f>
        <v/>
      </c>
      <c r="H377" s="181"/>
      <c r="I377" s="183"/>
      <c r="J377" s="181"/>
      <c r="K377" s="181"/>
      <c r="L377" s="182"/>
      <c r="M377" s="182"/>
      <c r="N377" s="183"/>
      <c r="O377" s="182"/>
      <c r="P377" s="182"/>
      <c r="Q377" s="184"/>
      <c r="R377" s="184"/>
      <c r="S377" s="185" t="str">
        <f>IFERROR(CLEAN(INDEX('Risk Matrix'!$H$7:$L$11,MATCH($Q377,'Risk Matrix'!$F$7:$F$11,0),MATCH($R377,'Risk Matrix'!$H$6:$L$6,0))),"")</f>
        <v/>
      </c>
      <c r="T377" s="85" t="str">
        <f>IF(LEFT($B377,7)=RIGHT('SOP template'!$B$1,7),_xlfn.NUMBERVALUE(RIGHT($S377,2)),"")</f>
        <v/>
      </c>
      <c r="U377" s="182"/>
      <c r="V377" s="182"/>
      <c r="W377" s="182"/>
      <c r="X377" s="182"/>
      <c r="Y377" s="182"/>
      <c r="Z377" s="183"/>
      <c r="AA377" s="186" t="str">
        <f>IFERROR(VLOOKUP(IFERROR(LEFT(S377,4),""),Ref!$AF$2:$AG$5,2,0),"")</f>
        <v/>
      </c>
      <c r="AB377" s="146"/>
      <c r="AC377" s="218"/>
      <c r="AD377" s="187" t="str">
        <f>IFERROR(VLOOKUP(AC377,'Training Matrix'!B$4:C$24,2,0),"")</f>
        <v/>
      </c>
      <c r="AE377" s="218"/>
      <c r="AF377" s="188" t="str">
        <f t="shared" si="457"/>
        <v/>
      </c>
      <c r="AG377" s="189" t="str">
        <f t="shared" ca="1" si="458"/>
        <v/>
      </c>
      <c r="AH377" s="50" t="str">
        <f t="shared" ref="AH377" si="524">IF(OR(AC377="",AE377=""),"",CONCATENATE(AC377,"_",K364,"_",L364))</f>
        <v/>
      </c>
    </row>
    <row r="378" spans="1:34" x14ac:dyDescent="0.25">
      <c r="A378" s="5" t="str">
        <f>IF(LEFT(F378,15)='SOP template'!$B$1,1,"")</f>
        <v/>
      </c>
      <c r="B378" s="190" t="str">
        <f t="shared" si="519"/>
        <v>SOP.021.15</v>
      </c>
      <c r="C378" s="190" t="str">
        <f t="shared" si="509"/>
        <v>SOP.021.</v>
      </c>
      <c r="D378" s="190" t="str">
        <f t="shared" si="510"/>
        <v>SOP.021.</v>
      </c>
      <c r="E378" s="190">
        <f t="shared" si="445"/>
        <v>15</v>
      </c>
      <c r="F378" s="190" t="str">
        <f t="shared" si="520"/>
        <v>ALP.BSP.SOP.021.15</v>
      </c>
      <c r="G378" s="190" t="str">
        <f>IF(ISBLANK(N378),"",CONCATENATE(LEFT(F378,15),".",INDEX(Ref!A:A,MATCH(N378,Ref!$K$1:$K$333,0))))</f>
        <v/>
      </c>
      <c r="H378" s="181"/>
      <c r="I378" s="183"/>
      <c r="J378" s="181"/>
      <c r="K378" s="181"/>
      <c r="L378" s="182"/>
      <c r="M378" s="182"/>
      <c r="N378" s="183"/>
      <c r="O378" s="182"/>
      <c r="P378" s="182"/>
      <c r="Q378" s="184"/>
      <c r="R378" s="184"/>
      <c r="S378" s="185" t="str">
        <f>IFERROR(CLEAN(INDEX('Risk Matrix'!$H$7:$L$11,MATCH($Q378,'Risk Matrix'!$F$7:$F$11,0),MATCH($R378,'Risk Matrix'!$H$6:$L$6,0))),"")</f>
        <v/>
      </c>
      <c r="T378" s="85" t="str">
        <f>IF(LEFT($B378,7)=RIGHT('SOP template'!$B$1,7),_xlfn.NUMBERVALUE(RIGHT($S378,2)),"")</f>
        <v/>
      </c>
      <c r="U378" s="182"/>
      <c r="V378" s="182"/>
      <c r="W378" s="182"/>
      <c r="X378" s="182"/>
      <c r="Y378" s="182"/>
      <c r="Z378" s="183"/>
      <c r="AA378" s="186" t="str">
        <f>IFERROR(VLOOKUP(IFERROR(LEFT(S378,4),""),Ref!$AF$2:$AG$5,2,0),"")</f>
        <v/>
      </c>
      <c r="AB378" s="146"/>
      <c r="AC378" s="218"/>
      <c r="AD378" s="187" t="str">
        <f>IFERROR(VLOOKUP(AC378,'Training Matrix'!B$4:C$24,2,0),"")</f>
        <v/>
      </c>
      <c r="AE378" s="218"/>
      <c r="AF378" s="188" t="str">
        <f t="shared" si="457"/>
        <v/>
      </c>
      <c r="AG378" s="189" t="str">
        <f t="shared" ca="1" si="458"/>
        <v/>
      </c>
      <c r="AH378" s="50" t="str">
        <f t="shared" ref="AH378" si="525">IF(OR(AC378="",AE378=""),"",CONCATENATE(AC378,"_",K364,"_",L364))</f>
        <v/>
      </c>
    </row>
    <row r="379" spans="1:34" x14ac:dyDescent="0.25">
      <c r="A379" s="5" t="str">
        <f>IF(LEFT(F379,15)='SOP template'!$B$1,1,"")</f>
        <v/>
      </c>
      <c r="B379" s="190" t="str">
        <f t="shared" si="519"/>
        <v>SOP.021.16</v>
      </c>
      <c r="C379" s="190" t="str">
        <f t="shared" si="509"/>
        <v>SOP.021.</v>
      </c>
      <c r="D379" s="190" t="str">
        <f t="shared" si="510"/>
        <v>SOP.021.</v>
      </c>
      <c r="E379" s="190">
        <f t="shared" si="445"/>
        <v>16</v>
      </c>
      <c r="F379" s="190" t="str">
        <f t="shared" si="520"/>
        <v>ALP.BSP.SOP.021.16</v>
      </c>
      <c r="G379" s="190" t="str">
        <f>IF(ISBLANK(N379),"",CONCATENATE(LEFT(F379,15),".",INDEX(Ref!A:A,MATCH(N379,Ref!$K$1:$K$333,0))))</f>
        <v/>
      </c>
      <c r="H379" s="181"/>
      <c r="I379" s="183"/>
      <c r="J379" s="181"/>
      <c r="K379" s="181"/>
      <c r="L379" s="182"/>
      <c r="M379" s="182"/>
      <c r="N379" s="183"/>
      <c r="O379" s="182"/>
      <c r="P379" s="182"/>
      <c r="Q379" s="184"/>
      <c r="R379" s="184"/>
      <c r="S379" s="185" t="str">
        <f>IFERROR(CLEAN(INDEX('Risk Matrix'!$H$7:$L$11,MATCH($Q379,'Risk Matrix'!$F$7:$F$11,0),MATCH($R379,'Risk Matrix'!$H$6:$L$6,0))),"")</f>
        <v/>
      </c>
      <c r="T379" s="85" t="str">
        <f>IF(LEFT($B379,7)=RIGHT('SOP template'!$B$1,7),_xlfn.NUMBERVALUE(RIGHT($S379,2)),"")</f>
        <v/>
      </c>
      <c r="U379" s="182"/>
      <c r="V379" s="182"/>
      <c r="W379" s="182"/>
      <c r="X379" s="182"/>
      <c r="Y379" s="182"/>
      <c r="Z379" s="183"/>
      <c r="AA379" s="186" t="str">
        <f>IFERROR(VLOOKUP(IFERROR(LEFT(S379,4),""),Ref!$AF$2:$AG$5,2,0),"")</f>
        <v/>
      </c>
      <c r="AB379" s="146"/>
      <c r="AC379" s="218"/>
      <c r="AD379" s="187" t="str">
        <f>IFERROR(VLOOKUP(AC379,'Training Matrix'!B$4:C$24,2,0),"")</f>
        <v/>
      </c>
      <c r="AE379" s="218"/>
      <c r="AF379" s="188" t="str">
        <f t="shared" si="457"/>
        <v/>
      </c>
      <c r="AG379" s="189" t="str">
        <f t="shared" ca="1" si="458"/>
        <v/>
      </c>
      <c r="AH379" s="50" t="str">
        <f t="shared" ref="AH379" si="526">IF(OR(AC379="",AE379=""),"",CONCATENATE(AC379,"_",K364,"_",L364))</f>
        <v/>
      </c>
    </row>
    <row r="380" spans="1:34" x14ac:dyDescent="0.25">
      <c r="A380" s="5" t="str">
        <f>IF(LEFT(F380,15)='SOP template'!$B$1,1,"")</f>
        <v/>
      </c>
      <c r="B380" s="190" t="str">
        <f t="shared" si="519"/>
        <v>SOP.021.17</v>
      </c>
      <c r="C380" s="190" t="str">
        <f t="shared" si="509"/>
        <v>SOP.021.</v>
      </c>
      <c r="D380" s="190" t="str">
        <f t="shared" si="510"/>
        <v>SOP.021.</v>
      </c>
      <c r="E380" s="190">
        <f t="shared" si="445"/>
        <v>17</v>
      </c>
      <c r="F380" s="190" t="str">
        <f t="shared" si="520"/>
        <v>ALP.BSP.SOP.021.17</v>
      </c>
      <c r="G380" s="190" t="str">
        <f>IF(ISBLANK(N380),"",CONCATENATE(LEFT(F380,15),".",INDEX(Ref!A:A,MATCH(N380,Ref!$K$1:$K$333,0))))</f>
        <v/>
      </c>
      <c r="H380" s="181"/>
      <c r="I380" s="183"/>
      <c r="J380" s="181"/>
      <c r="K380" s="181"/>
      <c r="L380" s="182"/>
      <c r="M380" s="182"/>
      <c r="N380" s="183"/>
      <c r="O380" s="182"/>
      <c r="P380" s="182"/>
      <c r="Q380" s="184"/>
      <c r="R380" s="184"/>
      <c r="S380" s="185" t="str">
        <f>IFERROR(CLEAN(INDEX('Risk Matrix'!$H$7:$L$11,MATCH($Q380,'Risk Matrix'!$F$7:$F$11,0),MATCH($R380,'Risk Matrix'!$H$6:$L$6,0))),"")</f>
        <v/>
      </c>
      <c r="T380" s="85" t="str">
        <f>IF(LEFT($B380,7)=RIGHT('SOP template'!$B$1,7),_xlfn.NUMBERVALUE(RIGHT($S380,2)),"")</f>
        <v/>
      </c>
      <c r="U380" s="182"/>
      <c r="V380" s="182"/>
      <c r="W380" s="182"/>
      <c r="X380" s="182"/>
      <c r="Y380" s="182"/>
      <c r="Z380" s="183"/>
      <c r="AA380" s="186" t="str">
        <f>IFERROR(VLOOKUP(IFERROR(LEFT(S380,4),""),Ref!$AF$2:$AG$5,2,0),"")</f>
        <v/>
      </c>
      <c r="AB380" s="146"/>
      <c r="AC380" s="218"/>
      <c r="AD380" s="187" t="str">
        <f>IFERROR(VLOOKUP(AC380,'Training Matrix'!B$4:C$24,2,0),"")</f>
        <v/>
      </c>
      <c r="AE380" s="218"/>
      <c r="AF380" s="188" t="str">
        <f t="shared" si="457"/>
        <v/>
      </c>
      <c r="AG380" s="189" t="str">
        <f t="shared" ca="1" si="458"/>
        <v/>
      </c>
      <c r="AH380" s="50" t="str">
        <f t="shared" ref="AH380" si="527">IF(OR(AC380="",AE380=""),"",CONCATENATE(AC380,"_",K364,"_",L364))</f>
        <v/>
      </c>
    </row>
    <row r="381" spans="1:34" x14ac:dyDescent="0.25">
      <c r="A381" s="5" t="str">
        <f>IF(LEFT(F381,15)='SOP template'!$B$1,1,"")</f>
        <v/>
      </c>
      <c r="B381" s="190" t="str">
        <f t="shared" si="519"/>
        <v>SOP.021.18</v>
      </c>
      <c r="C381" s="190" t="str">
        <f t="shared" si="509"/>
        <v>SOP.021.</v>
      </c>
      <c r="D381" s="190" t="str">
        <f t="shared" si="510"/>
        <v>SOP.021.</v>
      </c>
      <c r="E381" s="190">
        <f t="shared" si="445"/>
        <v>18</v>
      </c>
      <c r="F381" s="190" t="str">
        <f t="shared" si="520"/>
        <v>ALP.BSP.SOP.021.18</v>
      </c>
      <c r="G381" s="190" t="str">
        <f>IF(ISBLANK(N381),"",CONCATENATE(LEFT(F381,15),".",INDEX(Ref!A:A,MATCH(N381,Ref!$K$1:$K$333,0))))</f>
        <v/>
      </c>
      <c r="H381" s="181"/>
      <c r="I381" s="183"/>
      <c r="J381" s="181"/>
      <c r="K381" s="181"/>
      <c r="L381" s="182"/>
      <c r="M381" s="182"/>
      <c r="N381" s="183"/>
      <c r="O381" s="182"/>
      <c r="P381" s="182"/>
      <c r="Q381" s="184"/>
      <c r="R381" s="184"/>
      <c r="S381" s="185" t="str">
        <f>IFERROR(CLEAN(INDEX('Risk Matrix'!$H$7:$L$11,MATCH($Q381,'Risk Matrix'!$F$7:$F$11,0),MATCH($R381,'Risk Matrix'!$H$6:$L$6,0))),"")</f>
        <v/>
      </c>
      <c r="T381" s="85" t="str">
        <f>IF(LEFT($B381,7)=RIGHT('SOP template'!$B$1,7),_xlfn.NUMBERVALUE(RIGHT($S381,2)),"")</f>
        <v/>
      </c>
      <c r="U381" s="182"/>
      <c r="V381" s="182"/>
      <c r="W381" s="182"/>
      <c r="X381" s="182"/>
      <c r="Y381" s="182"/>
      <c r="Z381" s="183"/>
      <c r="AA381" s="186" t="str">
        <f>IFERROR(VLOOKUP(IFERROR(LEFT(S381,4),""),Ref!$AF$2:$AG$5,2,0),"")</f>
        <v/>
      </c>
      <c r="AB381" s="146"/>
      <c r="AC381" s="218"/>
      <c r="AD381" s="187" t="str">
        <f>IFERROR(VLOOKUP(AC381,'Training Matrix'!B$4:C$24,2,0),"")</f>
        <v/>
      </c>
      <c r="AE381" s="218"/>
      <c r="AF381" s="188" t="str">
        <f t="shared" si="457"/>
        <v/>
      </c>
      <c r="AG381" s="189" t="str">
        <f t="shared" ca="1" si="458"/>
        <v/>
      </c>
      <c r="AH381" s="50" t="str">
        <f t="shared" ref="AH381" si="528">IF(OR(AC381="",AE381=""),"",CONCATENATE(AC381,"_",K364,"_",L364))</f>
        <v/>
      </c>
    </row>
    <row r="382" spans="1:34" ht="60" x14ac:dyDescent="0.25">
      <c r="A382" s="5" t="str">
        <f>IF(LEFT(F382,15)='SOP template'!$B$1,1,"")</f>
        <v/>
      </c>
      <c r="B382" s="179" t="str">
        <f t="shared" ref="B382" si="529">IF(ISBLANK($K382),CONCATENATE($B$2,".",TEXT(J382,"000"),".",$E382),CONCATENATE(RIGHT($K382,7),".1"))</f>
        <v>SOP.022.1</v>
      </c>
      <c r="C382" s="179" t="str">
        <f>IF(ISBLANK($K382),CONCATENATE(LEFT(#REF!,8),IF($E382=1,1.1,IF($E382=2,1.4,IF($E382=3,2,IF($E382=4,2.4,IF($E382=5,3,IF($E382=6,3.4,IF($E382=7,4,IF($E382=8,4.4,IF($E382=9,5,IF($E382=10,5.4,IF($E382=11,6,IF($E382=12,6.4,""))))))))))))),CONCATENATE(RIGHT($K382,7),".1"))</f>
        <v>SOP.022.1</v>
      </c>
      <c r="D382" s="179" t="str">
        <f>IF(ISBLANK($K382),CONCATENATE(LEFT(#REF!,8),IF($E382=1,1,IF($E382=2,1.3,IF($E382=3,1.5,IF($E382=4,2,IF($E382=5,2.3,IF($E382=6,2.5,IF($E382=7,3,IF($E382=8,3.3,IF($E382=9,3.5,IF($E382=10,4,IF($E382=11,4.3,IF($E382=12,4.5,""))))))))))))),CONCATENATE(RIGHT($K382,7),".1"))</f>
        <v>SOP.022.1</v>
      </c>
      <c r="E382" s="179">
        <f t="shared" si="445"/>
        <v>1</v>
      </c>
      <c r="F382" s="179" t="str">
        <f t="shared" ref="F382" si="530">K382&amp;"."&amp;TEXT(E382,"00")</f>
        <v>ALP.BSP.SOP.022.01</v>
      </c>
      <c r="G382" s="179" t="str">
        <f>IF(ISBLANK(N382),"",CONCATENATE(LEFT(F382,15),".",INDEX(Ref!A:A,MATCH(N382,Ref!$K$1:$K$333,0))))</f>
        <v>ALP.BSP.SOP.022.7</v>
      </c>
      <c r="H382" s="217" t="s">
        <v>394</v>
      </c>
      <c r="I382" s="217" t="s">
        <v>275</v>
      </c>
      <c r="J382" s="180">
        <v>22</v>
      </c>
      <c r="K382" s="181" t="str">
        <f>IFERROR(CONCATENATE(INDEX(Ref!$Z$2:$Z$8,MATCH(H382,Ref!$AA$2:$AA$8,0)),".",I382,".SOP.",TEXT(J382,"000")),CONCATENATE(H382,".",I382,".SOP.",TEXT(J382,"000")))</f>
        <v>ALP.BSP.SOP.022</v>
      </c>
      <c r="L382" s="191" t="s">
        <v>1013</v>
      </c>
      <c r="M382" s="182" t="s">
        <v>1014</v>
      </c>
      <c r="N382" s="183" t="s">
        <v>88</v>
      </c>
      <c r="O382" s="182" t="s">
        <v>508</v>
      </c>
      <c r="P382" s="182" t="s">
        <v>1015</v>
      </c>
      <c r="Q382" s="184" t="s">
        <v>89</v>
      </c>
      <c r="R382" s="184" t="s">
        <v>91</v>
      </c>
      <c r="S382" s="185" t="str">
        <f>IFERROR(CLEAN(INDEX('Risk Matrix'!$H$7:$L$11,MATCH($Q382,'Risk Matrix'!$F$7:$F$11,0),MATCH($R382,'Risk Matrix'!$H$6:$L$6,0))),"")</f>
        <v>Low 1</v>
      </c>
      <c r="T382" s="85" t="str">
        <f>IF(LEFT($B382,7)=RIGHT('SOP template'!$B$1,7),_xlfn.NUMBERVALUE(RIGHT($S382,2)),"")</f>
        <v/>
      </c>
      <c r="U382" s="182" t="s">
        <v>936</v>
      </c>
      <c r="V382" s="182" t="s">
        <v>937</v>
      </c>
      <c r="W382" s="182" t="s">
        <v>938</v>
      </c>
      <c r="X382" s="182" t="s">
        <v>939</v>
      </c>
      <c r="Y382" s="182" t="s">
        <v>940</v>
      </c>
      <c r="Z382" s="182" t="s">
        <v>941</v>
      </c>
      <c r="AA382" s="186">
        <f>IFERROR(VLOOKUP(IFERROR(LEFT(S382,4),""),Ref!$AF$2:$AG$5,2,0),"")</f>
        <v>36</v>
      </c>
      <c r="AB382" s="186">
        <f>MIN($AA382:$AA399)</f>
        <v>36</v>
      </c>
      <c r="AC382" s="218" t="s">
        <v>289</v>
      </c>
      <c r="AD382" s="187" t="str">
        <f>IFERROR(VLOOKUP(AC382,'Training Matrix'!B$4:C$24,2,0),"")</f>
        <v>Dock Manager</v>
      </c>
      <c r="AE382" s="221">
        <v>45792</v>
      </c>
      <c r="AF382" s="188">
        <f t="shared" si="457"/>
        <v>46522</v>
      </c>
      <c r="AG382" s="189" t="str">
        <f t="shared" ca="1" si="458"/>
        <v>Current</v>
      </c>
      <c r="AH382" s="50" t="str">
        <f t="shared" ref="AH382" si="531">IF(OR(AC382="",AE382=""),"",CONCATENATE(AC382,"_",K382,"_",L382))</f>
        <v>Person 1_ALP.BSP.SOP.022_Test Emergency Shower and Eyewash</v>
      </c>
    </row>
    <row r="383" spans="1:34" ht="45" x14ac:dyDescent="0.25">
      <c r="A383" s="5" t="str">
        <f>IF(LEFT(F383,15)='SOP template'!$B$1,1,"")</f>
        <v/>
      </c>
      <c r="B383" s="190" t="str">
        <f t="shared" ref="B383:B391" si="532">CONCATENATE(LEFT(B382,8),E383)</f>
        <v>SOP.022.2</v>
      </c>
      <c r="C383" s="190" t="str">
        <f>IF(ISBLANK($K383),CONCATENATE(LEFT($B382,8),IF($E383=1,1.1,IF($E383=2,1.4,IF($E383=3,2,IF($E383=4,2.4,IF($E383=5,3,IF($E383=6,3.4,IF($E383=7,4,IF($E383=8,4.4,IF($E383=9,5,IF($E383=10,5.4,IF($E383=11,6,IF($E383=12,6.4,""))))))))))))),CONCATENATE(RIGHT($K383,7),".1"))</f>
        <v>SOP.022.1.4</v>
      </c>
      <c r="D383" s="190" t="str">
        <f>IF(ISBLANK($K383),CONCATENATE(LEFT($B382,8),IF($E383=1,1,IF($E383=2,1.3,IF($E383=3,1.5,IF($E383=4,2,IF($E383=5,2.3,IF($E383=6,2.5,IF($E383=7,3,IF($E383=8,3.3,IF($E383=9,3.5,IF($E383=10,4,IF($E383=11,4.3,IF($E383=12,4.5,""))))))))))))),CONCATENATE(RIGHT($K383,7),".1"))</f>
        <v>SOP.022.1.3</v>
      </c>
      <c r="E383" s="190">
        <f t="shared" si="445"/>
        <v>2</v>
      </c>
      <c r="F383" s="190" t="str">
        <f t="shared" ref="F383:F391" si="533">IF(K383=0,LEFT(F382,16)&amp;TEXT(E383,"00"),K383&amp;"."&amp;TEXT(E383,"00"))</f>
        <v>ALP.BSP.SOP.022.02</v>
      </c>
      <c r="G383" s="190" t="str">
        <f>IF(ISBLANK(N383),"",CONCATENATE(LEFT(F383,15),".",INDEX(Ref!A:A,MATCH(N383,Ref!$K$1:$K$333,0))))</f>
        <v>ALP.BSP.SOP.022.20</v>
      </c>
      <c r="H383" s="181"/>
      <c r="I383" s="183"/>
      <c r="J383" s="181"/>
      <c r="K383" s="181"/>
      <c r="L383" s="182"/>
      <c r="M383" s="182"/>
      <c r="N383" s="183" t="s">
        <v>133</v>
      </c>
      <c r="O383" s="182" t="s">
        <v>498</v>
      </c>
      <c r="P383" s="182" t="s">
        <v>1016</v>
      </c>
      <c r="Q383" s="184" t="s">
        <v>89</v>
      </c>
      <c r="R383" s="184" t="s">
        <v>91</v>
      </c>
      <c r="S383" s="185" t="str">
        <f>IFERROR(CLEAN(INDEX('Risk Matrix'!$H$7:$L$11,MATCH($Q383,'Risk Matrix'!$F$7:$F$11,0),MATCH($R383,'Risk Matrix'!$H$6:$L$6,0))),"")</f>
        <v>Low 1</v>
      </c>
      <c r="T383" s="85" t="str">
        <f>IF(LEFT($B383,7)=RIGHT('SOP template'!$B$1,7),_xlfn.NUMBERVALUE(RIGHT($S383,2)),"")</f>
        <v/>
      </c>
      <c r="U383" s="182" t="s">
        <v>942</v>
      </c>
      <c r="V383" s="182" t="s">
        <v>943</v>
      </c>
      <c r="W383" s="182" t="s">
        <v>944</v>
      </c>
      <c r="X383" s="182" t="s">
        <v>945</v>
      </c>
      <c r="Y383" s="182" t="s">
        <v>946</v>
      </c>
      <c r="Z383" s="182" t="s">
        <v>947</v>
      </c>
      <c r="AA383" s="186">
        <f>IFERROR(VLOOKUP(IFERROR(LEFT(S383,4),""),Ref!$AF$2:$AG$5,2,0),"")</f>
        <v>36</v>
      </c>
      <c r="AB383" s="146"/>
      <c r="AC383" s="218" t="s">
        <v>290</v>
      </c>
      <c r="AD383" s="187" t="str">
        <f>IFERROR(VLOOKUP(AC383,'Training Matrix'!B$4:C$24,2,0),"")</f>
        <v>WHS Team member</v>
      </c>
      <c r="AE383" s="221">
        <v>45792</v>
      </c>
      <c r="AF383" s="188">
        <f t="shared" si="457"/>
        <v>46522</v>
      </c>
      <c r="AG383" s="189" t="str">
        <f t="shared" ca="1" si="458"/>
        <v>Current</v>
      </c>
      <c r="AH383" s="50" t="str">
        <f t="shared" ref="AH383" si="534">IF(OR(AC383="",AE383=""),"",CONCATENATE(AC383,"_",K382,"_",L382))</f>
        <v>Person 2_ALP.BSP.SOP.022_Test Emergency Shower and Eyewash</v>
      </c>
    </row>
    <row r="384" spans="1:34" ht="45" x14ac:dyDescent="0.25">
      <c r="A384" s="5" t="str">
        <f>IF(LEFT(F384,15)='SOP template'!$B$1,1,"")</f>
        <v/>
      </c>
      <c r="B384" s="190" t="str">
        <f t="shared" si="532"/>
        <v>SOP.022.3</v>
      </c>
      <c r="C384" s="190" t="str">
        <f t="shared" ref="C384:C399" si="535">IF(ISBLANK($K384),CONCATENATE(LEFT($B383,8),IF($E384=1,1.1,IF($E384=2,1.4,IF($E384=3,2,IF($E384=4,2.4,IF($E384=5,3,IF($E384=6,3.4,IF($E384=7,4,IF($E384=8,4.4,IF($E384=9,5,IF($E384=10,5.4,IF($E384=11,6,IF($E384=12,6.4,""))))))))))))),CONCATENATE(RIGHT($K384,7),".1"))</f>
        <v>SOP.022.2</v>
      </c>
      <c r="D384" s="190" t="str">
        <f t="shared" ref="D384:D399" si="536">IF(ISBLANK($K384),CONCATENATE(LEFT($B383,8),IF($E384=1,1,IF($E384=2,1.3,IF($E384=3,1.5,IF($E384=4,2,IF($E384=5,2.3,IF($E384=6,2.5,IF($E384=7,3,IF($E384=8,3.3,IF($E384=9,3.5,IF($E384=10,4,IF($E384=11,4.3,IF($E384=12,4.5,""))))))))))))),CONCATENATE(RIGHT($K384,7),".1"))</f>
        <v>SOP.022.1.5</v>
      </c>
      <c r="E384" s="190">
        <f t="shared" si="445"/>
        <v>3</v>
      </c>
      <c r="F384" s="190" t="str">
        <f t="shared" si="533"/>
        <v>ALP.BSP.SOP.022.03</v>
      </c>
      <c r="G384" s="190" t="str">
        <f>IF(ISBLANK(N384),"",CONCATENATE(LEFT(F384,15),".",INDEX(Ref!A:A,MATCH(N384,Ref!$K$1:$K$333,0))))</f>
        <v>ALP.BSP.SOP.022.2</v>
      </c>
      <c r="H384" s="181"/>
      <c r="I384" s="183"/>
      <c r="J384" s="181"/>
      <c r="K384" s="181"/>
      <c r="L384" s="182"/>
      <c r="M384" s="182"/>
      <c r="N384" s="183" t="s">
        <v>94</v>
      </c>
      <c r="O384" s="182"/>
      <c r="P384" s="182"/>
      <c r="Q384" s="184"/>
      <c r="R384" s="184"/>
      <c r="S384" s="185" t="str">
        <f>IFERROR(CLEAN(INDEX('Risk Matrix'!$H$7:$L$11,MATCH($Q384,'Risk Matrix'!$F$7:$F$11,0),MATCH($R384,'Risk Matrix'!$H$6:$L$6,0))),"")</f>
        <v/>
      </c>
      <c r="T384" s="85" t="str">
        <f>IF(LEFT($B384,7)=RIGHT('SOP template'!$B$1,7),_xlfn.NUMBERVALUE(RIGHT($S384,2)),"")</f>
        <v/>
      </c>
      <c r="U384" s="182"/>
      <c r="V384" s="182"/>
      <c r="W384" s="182" t="s">
        <v>948</v>
      </c>
      <c r="X384" s="182" t="s">
        <v>949</v>
      </c>
      <c r="Y384" s="182" t="s">
        <v>950</v>
      </c>
      <c r="Z384" s="182"/>
      <c r="AA384" s="186" t="str">
        <f>IFERROR(VLOOKUP(IFERROR(LEFT(S384,4),""),Ref!$AF$2:$AG$5,2,0),"")</f>
        <v/>
      </c>
      <c r="AB384" s="146"/>
      <c r="AC384" s="218" t="s">
        <v>167</v>
      </c>
      <c r="AD384" s="187" t="str">
        <f>IFERROR(VLOOKUP(AC384,'Training Matrix'!B$4:C$24,2,0),"")</f>
        <v>Bioscience Manager</v>
      </c>
      <c r="AE384" s="221">
        <v>45792</v>
      </c>
      <c r="AF384" s="188">
        <f t="shared" si="457"/>
        <v>46522</v>
      </c>
      <c r="AG384" s="189" t="str">
        <f t="shared" ca="1" si="458"/>
        <v>Current</v>
      </c>
      <c r="AH384" s="50" t="str">
        <f t="shared" ref="AH384" si="537">IF(OR(AC384="",AE384=""),"",CONCATENATE(AC384,"_",K382,"_",L382))</f>
        <v>Person 3_ALP.BSP.SOP.022_Test Emergency Shower and Eyewash</v>
      </c>
    </row>
    <row r="385" spans="1:34" ht="30" x14ac:dyDescent="0.25">
      <c r="A385" s="5" t="str">
        <f>IF(LEFT(F385,15)='SOP template'!$B$1,1,"")</f>
        <v/>
      </c>
      <c r="B385" s="190" t="str">
        <f t="shared" si="532"/>
        <v>SOP.022.4</v>
      </c>
      <c r="C385" s="190" t="str">
        <f t="shared" si="535"/>
        <v>SOP.022.2.4</v>
      </c>
      <c r="D385" s="190" t="str">
        <f t="shared" si="536"/>
        <v>SOP.022.2</v>
      </c>
      <c r="E385" s="190">
        <f t="shared" si="445"/>
        <v>4</v>
      </c>
      <c r="F385" s="190" t="str">
        <f t="shared" si="533"/>
        <v>ALP.BSP.SOP.022.04</v>
      </c>
      <c r="G385" s="190" t="str">
        <f>IF(ISBLANK(N385),"",CONCATENATE(LEFT(F385,15),".",INDEX(Ref!A:A,MATCH(N385,Ref!$K$1:$K$333,0))))</f>
        <v>ALP.BSP.SOP.022.7</v>
      </c>
      <c r="H385" s="181"/>
      <c r="I385" s="183"/>
      <c r="J385" s="181"/>
      <c r="K385" s="181"/>
      <c r="L385" s="182"/>
      <c r="M385" s="182"/>
      <c r="N385" s="183" t="s">
        <v>88</v>
      </c>
      <c r="O385" s="182"/>
      <c r="P385" s="182"/>
      <c r="Q385" s="184"/>
      <c r="R385" s="184"/>
      <c r="S385" s="185" t="str">
        <f>IFERROR(CLEAN(INDEX('Risk Matrix'!$H$7:$L$11,MATCH($Q385,'Risk Matrix'!$F$7:$F$11,0),MATCH($R385,'Risk Matrix'!$H$6:$L$6,0))),"")</f>
        <v/>
      </c>
      <c r="T385" s="85" t="str">
        <f>IF(LEFT($B385,7)=RIGHT('SOP template'!$B$1,7),_xlfn.NUMBERVALUE(RIGHT($S385,2)),"")</f>
        <v/>
      </c>
      <c r="U385" s="182"/>
      <c r="V385" s="182"/>
      <c r="W385" s="182"/>
      <c r="X385" s="182" t="s">
        <v>951</v>
      </c>
      <c r="Y385" s="182"/>
      <c r="Z385" s="183"/>
      <c r="AA385" s="186" t="str">
        <f>IFERROR(VLOOKUP(IFERROR(LEFT(S385,4),""),Ref!$AF$2:$AG$5,2,0),"")</f>
        <v/>
      </c>
      <c r="AB385" s="146"/>
      <c r="AC385" s="218" t="s">
        <v>168</v>
      </c>
      <c r="AD385" s="187" t="str">
        <f>IFERROR(VLOOKUP(AC385,'Training Matrix'!B$4:C$24,2,0),"")</f>
        <v>Collection Manager</v>
      </c>
      <c r="AE385" s="221">
        <v>45792</v>
      </c>
      <c r="AF385" s="188">
        <f t="shared" si="457"/>
        <v>46522</v>
      </c>
      <c r="AG385" s="189" t="str">
        <f t="shared" ca="1" si="458"/>
        <v>Current</v>
      </c>
      <c r="AH385" s="50" t="str">
        <f t="shared" ref="AH385" si="538">IF(OR(AC385="",AE385=""),"",CONCATENATE(AC385,"_",K382,"_",L382))</f>
        <v>Person 4_ALP.BSP.SOP.022_Test Emergency Shower and Eyewash</v>
      </c>
    </row>
    <row r="386" spans="1:34" ht="30" x14ac:dyDescent="0.25">
      <c r="A386" s="5" t="str">
        <f>IF(LEFT(F386,15)='SOP template'!$B$1,1,"")</f>
        <v/>
      </c>
      <c r="B386" s="190" t="str">
        <f t="shared" si="532"/>
        <v>SOP.022.5</v>
      </c>
      <c r="C386" s="190" t="str">
        <f t="shared" si="535"/>
        <v>SOP.022.3</v>
      </c>
      <c r="D386" s="190" t="str">
        <f t="shared" si="536"/>
        <v>SOP.022.2.3</v>
      </c>
      <c r="E386" s="190">
        <f t="shared" si="445"/>
        <v>5</v>
      </c>
      <c r="F386" s="190" t="str">
        <f t="shared" si="533"/>
        <v>ALP.BSP.SOP.022.05</v>
      </c>
      <c r="G386" s="190" t="str">
        <f>IF(ISBLANK(N386),"",CONCATENATE(LEFT(F386,15),".",INDEX(Ref!A:A,MATCH(N386,Ref!$K$1:$K$333,0))))</f>
        <v>ALP.BSP.SOP.022.14</v>
      </c>
      <c r="H386" s="181"/>
      <c r="I386" s="183"/>
      <c r="J386" s="181"/>
      <c r="K386" s="181"/>
      <c r="L386" s="182"/>
      <c r="M386" s="182"/>
      <c r="N386" s="183" t="s">
        <v>127</v>
      </c>
      <c r="O386" s="182"/>
      <c r="P386" s="182"/>
      <c r="Q386" s="184"/>
      <c r="R386" s="184"/>
      <c r="S386" s="185" t="str">
        <f>IFERROR(CLEAN(INDEX('Risk Matrix'!$H$7:$L$11,MATCH($Q386,'Risk Matrix'!$F$7:$F$11,0),MATCH($R386,'Risk Matrix'!$H$6:$L$6,0))),"")</f>
        <v/>
      </c>
      <c r="T386" s="85" t="str">
        <f>IF(LEFT($B386,7)=RIGHT('SOP template'!$B$1,7),_xlfn.NUMBERVALUE(RIGHT($S386,2)),"")</f>
        <v/>
      </c>
      <c r="U386" s="182"/>
      <c r="V386" s="182"/>
      <c r="W386" s="182"/>
      <c r="X386" s="182" t="s">
        <v>952</v>
      </c>
      <c r="Y386" s="182"/>
      <c r="Z386" s="183"/>
      <c r="AA386" s="186" t="str">
        <f>IFERROR(VLOOKUP(IFERROR(LEFT(S386,4),""),Ref!$AF$2:$AG$5,2,0),"")</f>
        <v/>
      </c>
      <c r="AB386" s="146"/>
      <c r="AC386" s="218" t="s">
        <v>169</v>
      </c>
      <c r="AD386" s="187" t="str">
        <f>IFERROR(VLOOKUP(AC386,'Training Matrix'!B$4:C$24,2,0),"")</f>
        <v>Technician</v>
      </c>
      <c r="AE386" s="221">
        <v>45792</v>
      </c>
      <c r="AF386" s="188">
        <f t="shared" si="457"/>
        <v>46522</v>
      </c>
      <c r="AG386" s="189" t="str">
        <f t="shared" ca="1" si="458"/>
        <v>Current</v>
      </c>
      <c r="AH386" s="50" t="str">
        <f t="shared" ref="AH386" si="539">IF(OR(AC386="",AE386=""),"",CONCATENATE(AC386,"_",K382,"_",L382))</f>
        <v>Person 5_ALP.BSP.SOP.022_Test Emergency Shower and Eyewash</v>
      </c>
    </row>
    <row r="387" spans="1:34" ht="45" x14ac:dyDescent="0.25">
      <c r="A387" s="5" t="str">
        <f>IF(LEFT(F387,15)='SOP template'!$B$1,1,"")</f>
        <v/>
      </c>
      <c r="B387" s="190" t="str">
        <f t="shared" si="532"/>
        <v>SOP.022.6</v>
      </c>
      <c r="C387" s="190" t="str">
        <f t="shared" si="535"/>
        <v>SOP.022.3.4</v>
      </c>
      <c r="D387" s="190" t="str">
        <f t="shared" si="536"/>
        <v>SOP.022.2.5</v>
      </c>
      <c r="E387" s="190">
        <f t="shared" si="445"/>
        <v>6</v>
      </c>
      <c r="F387" s="190" t="str">
        <f t="shared" si="533"/>
        <v>ALP.BSP.SOP.022.06</v>
      </c>
      <c r="G387" s="190" t="str">
        <f>IF(ISBLANK(N387),"",CONCATENATE(LEFT(F387,15),".",INDEX(Ref!A:A,MATCH(N387,Ref!$K$1:$K$333,0))))</f>
        <v/>
      </c>
      <c r="H387" s="181"/>
      <c r="I387" s="183"/>
      <c r="J387" s="181"/>
      <c r="K387" s="181"/>
      <c r="L387" s="182"/>
      <c r="M387" s="182"/>
      <c r="N387" s="183"/>
      <c r="O387" s="182"/>
      <c r="P387" s="182"/>
      <c r="Q387" s="184"/>
      <c r="R387" s="184"/>
      <c r="S387" s="185" t="str">
        <f>IFERROR(CLEAN(INDEX('Risk Matrix'!$H$7:$L$11,MATCH($Q387,'Risk Matrix'!$F$7:$F$11,0),MATCH($R387,'Risk Matrix'!$H$6:$L$6,0))),"")</f>
        <v/>
      </c>
      <c r="T387" s="85" t="str">
        <f>IF(LEFT($B387,7)=RIGHT('SOP template'!$B$1,7),_xlfn.NUMBERVALUE(RIGHT($S387,2)),"")</f>
        <v/>
      </c>
      <c r="U387" s="182"/>
      <c r="V387" s="182"/>
      <c r="W387" s="182"/>
      <c r="X387" s="182" t="s">
        <v>945</v>
      </c>
      <c r="Y387" s="182"/>
      <c r="Z387" s="183"/>
      <c r="AA387" s="186" t="str">
        <f>IFERROR(VLOOKUP(IFERROR(LEFT(S387,4),""),Ref!$AF$2:$AG$5,2,0),"")</f>
        <v/>
      </c>
      <c r="AB387" s="146"/>
      <c r="AC387" s="218" t="s">
        <v>170</v>
      </c>
      <c r="AD387" s="187" t="str">
        <f>IFERROR(VLOOKUP(AC387,'Training Matrix'!B$4:C$24,2,0),"")</f>
        <v>Scientist</v>
      </c>
      <c r="AE387" s="221">
        <v>45792</v>
      </c>
      <c r="AF387" s="188">
        <f t="shared" si="457"/>
        <v>46522</v>
      </c>
      <c r="AG387" s="189" t="str">
        <f t="shared" ca="1" si="458"/>
        <v>Current</v>
      </c>
      <c r="AH387" s="50" t="str">
        <f t="shared" ref="AH387" si="540">IF(OR(AC387="",AE387=""),"",CONCATENATE(AC387,"_",K382,"_",L382))</f>
        <v>Person 6_ALP.BSP.SOP.022_Test Emergency Shower and Eyewash</v>
      </c>
    </row>
    <row r="388" spans="1:34" ht="45" x14ac:dyDescent="0.25">
      <c r="A388" s="5" t="str">
        <f>IF(LEFT(F388,15)='SOP template'!$B$1,1,"")</f>
        <v/>
      </c>
      <c r="B388" s="190" t="str">
        <f t="shared" si="532"/>
        <v>SOP.022.7</v>
      </c>
      <c r="C388" s="190" t="str">
        <f t="shared" si="535"/>
        <v>SOP.022.4</v>
      </c>
      <c r="D388" s="190" t="str">
        <f t="shared" si="536"/>
        <v>SOP.022.3</v>
      </c>
      <c r="E388" s="190">
        <f t="shared" si="445"/>
        <v>7</v>
      </c>
      <c r="F388" s="190" t="str">
        <f t="shared" si="533"/>
        <v>ALP.BSP.SOP.022.07</v>
      </c>
      <c r="G388" s="190" t="str">
        <f>IF(ISBLANK(N388),"",CONCATENATE(LEFT(F388,15),".",INDEX(Ref!A:A,MATCH(N388,Ref!$K$1:$K$333,0))))</f>
        <v/>
      </c>
      <c r="H388" s="181"/>
      <c r="I388" s="183"/>
      <c r="J388" s="181"/>
      <c r="K388" s="181"/>
      <c r="L388" s="182"/>
      <c r="M388" s="182"/>
      <c r="N388" s="183"/>
      <c r="O388" s="182"/>
      <c r="P388" s="182"/>
      <c r="Q388" s="184"/>
      <c r="R388" s="184"/>
      <c r="S388" s="185" t="str">
        <f>IFERROR(CLEAN(INDEX('Risk Matrix'!$H$7:$L$11,MATCH($Q388,'Risk Matrix'!$F$7:$F$11,0),MATCH($R388,'Risk Matrix'!$H$6:$L$6,0))),"")</f>
        <v/>
      </c>
      <c r="T388" s="85" t="str">
        <f>IF(LEFT($B388,7)=RIGHT('SOP template'!$B$1,7),_xlfn.NUMBERVALUE(RIGHT($S388,2)),"")</f>
        <v/>
      </c>
      <c r="U388" s="182"/>
      <c r="V388" s="182"/>
      <c r="W388" s="182"/>
      <c r="X388" s="182" t="s">
        <v>953</v>
      </c>
      <c r="Y388" s="182"/>
      <c r="Z388" s="183"/>
      <c r="AA388" s="186" t="str">
        <f>IFERROR(VLOOKUP(IFERROR(LEFT(S388,4),""),Ref!$AF$2:$AG$5,2,0),"")</f>
        <v/>
      </c>
      <c r="AB388" s="146"/>
      <c r="AC388" s="218"/>
      <c r="AD388" s="187" t="str">
        <f>IFERROR(VLOOKUP(AC388,'Training Matrix'!B$4:C$24,2,0),"")</f>
        <v/>
      </c>
      <c r="AE388" s="218"/>
      <c r="AF388" s="188" t="str">
        <f t="shared" si="457"/>
        <v/>
      </c>
      <c r="AG388" s="189" t="str">
        <f t="shared" ca="1" si="458"/>
        <v/>
      </c>
      <c r="AH388" s="50" t="str">
        <f t="shared" ref="AH388" si="541">IF(OR(AC388="",AE388=""),"",CONCATENATE(AC388,"_",K382,"_",L382))</f>
        <v/>
      </c>
    </row>
    <row r="389" spans="1:34" ht="30" x14ac:dyDescent="0.25">
      <c r="A389" s="5" t="str">
        <f>IF(LEFT(F389,15)='SOP template'!$B$1,1,"")</f>
        <v/>
      </c>
      <c r="B389" s="190" t="str">
        <f t="shared" si="532"/>
        <v>SOP.022.8</v>
      </c>
      <c r="C389" s="190" t="str">
        <f t="shared" si="535"/>
        <v>SOP.022.4.4</v>
      </c>
      <c r="D389" s="190" t="str">
        <f t="shared" si="536"/>
        <v>SOP.022.3.3</v>
      </c>
      <c r="E389" s="190">
        <f t="shared" ref="E389:E452" si="542">IF(ISBLANK($K389),$E388+1,1)</f>
        <v>8</v>
      </c>
      <c r="F389" s="190" t="str">
        <f t="shared" si="533"/>
        <v>ALP.BSP.SOP.022.08</v>
      </c>
      <c r="G389" s="190" t="str">
        <f>IF(ISBLANK(N389),"",CONCATENATE(LEFT(F389,15),".",INDEX(Ref!A:A,MATCH(N389,Ref!$K$1:$K$333,0))))</f>
        <v/>
      </c>
      <c r="H389" s="181"/>
      <c r="I389" s="183"/>
      <c r="J389" s="181"/>
      <c r="K389" s="181"/>
      <c r="L389" s="182"/>
      <c r="M389" s="182"/>
      <c r="N389" s="183"/>
      <c r="O389" s="182"/>
      <c r="P389" s="182"/>
      <c r="Q389" s="184"/>
      <c r="R389" s="184"/>
      <c r="S389" s="185" t="str">
        <f>IFERROR(CLEAN(INDEX('Risk Matrix'!$H$7:$L$11,MATCH($Q389,'Risk Matrix'!$F$7:$F$11,0),MATCH($R389,'Risk Matrix'!$H$6:$L$6,0))),"")</f>
        <v/>
      </c>
      <c r="T389" s="85" t="str">
        <f>IF(LEFT($B389,7)=RIGHT('SOP template'!$B$1,7),_xlfn.NUMBERVALUE(RIGHT($S389,2)),"")</f>
        <v/>
      </c>
      <c r="U389" s="182"/>
      <c r="V389" s="182"/>
      <c r="W389" s="182"/>
      <c r="X389" s="182" t="s">
        <v>951</v>
      </c>
      <c r="Y389" s="182"/>
      <c r="Z389" s="183"/>
      <c r="AA389" s="186" t="str">
        <f>IFERROR(VLOOKUP(IFERROR(LEFT(S389,4),""),Ref!$AF$2:$AG$5,2,0),"")</f>
        <v/>
      </c>
      <c r="AB389" s="146"/>
      <c r="AC389" s="218"/>
      <c r="AD389" s="187" t="str">
        <f>IFERROR(VLOOKUP(AC389,'Training Matrix'!B$4:C$24,2,0),"")</f>
        <v/>
      </c>
      <c r="AE389" s="218"/>
      <c r="AF389" s="188" t="str">
        <f t="shared" si="457"/>
        <v/>
      </c>
      <c r="AG389" s="189" t="str">
        <f t="shared" ca="1" si="458"/>
        <v/>
      </c>
      <c r="AH389" s="50" t="str">
        <f t="shared" ref="AH389" si="543">IF(OR(AC389="",AE389=""),"",CONCATENATE(AC389,"_",K382,"_",L382))</f>
        <v/>
      </c>
    </row>
    <row r="390" spans="1:34" x14ac:dyDescent="0.25">
      <c r="A390" s="5" t="str">
        <f>IF(LEFT(F390,15)='SOP template'!$B$1,1,"")</f>
        <v/>
      </c>
      <c r="B390" s="190" t="str">
        <f t="shared" si="532"/>
        <v>SOP.022.9</v>
      </c>
      <c r="C390" s="190" t="str">
        <f t="shared" si="535"/>
        <v>SOP.022.5</v>
      </c>
      <c r="D390" s="190" t="str">
        <f t="shared" si="536"/>
        <v>SOP.022.3.5</v>
      </c>
      <c r="E390" s="190">
        <f t="shared" si="542"/>
        <v>9</v>
      </c>
      <c r="F390" s="190" t="str">
        <f t="shared" si="533"/>
        <v>ALP.BSP.SOP.022.09</v>
      </c>
      <c r="G390" s="190" t="str">
        <f>IF(ISBLANK(N390),"",CONCATENATE(LEFT(F390,15),".",INDEX(Ref!A:A,MATCH(N390,Ref!$K$1:$K$333,0))))</f>
        <v/>
      </c>
      <c r="H390" s="181"/>
      <c r="I390" s="183"/>
      <c r="J390" s="181"/>
      <c r="K390" s="181"/>
      <c r="L390" s="182"/>
      <c r="M390" s="182"/>
      <c r="N390" s="183"/>
      <c r="O390" s="182"/>
      <c r="P390" s="182"/>
      <c r="Q390" s="184"/>
      <c r="R390" s="184"/>
      <c r="S390" s="185" t="str">
        <f>IFERROR(CLEAN(INDEX('Risk Matrix'!$H$7:$L$11,MATCH($Q390,'Risk Matrix'!$F$7:$F$11,0),MATCH($R390,'Risk Matrix'!$H$6:$L$6,0))),"")</f>
        <v/>
      </c>
      <c r="T390" s="85" t="str">
        <f>IF(LEFT($B390,7)=RIGHT('SOP template'!$B$1,7),_xlfn.NUMBERVALUE(RIGHT($S390,2)),"")</f>
        <v/>
      </c>
      <c r="U390" s="182"/>
      <c r="V390" s="182"/>
      <c r="W390" s="182"/>
      <c r="X390" s="182"/>
      <c r="Y390" s="182"/>
      <c r="Z390" s="183"/>
      <c r="AA390" s="186" t="str">
        <f>IFERROR(VLOOKUP(IFERROR(LEFT(S390,4),""),Ref!$AF$2:$AG$5,2,0),"")</f>
        <v/>
      </c>
      <c r="AB390" s="146"/>
      <c r="AC390" s="218"/>
      <c r="AD390" s="187" t="str">
        <f>IFERROR(VLOOKUP(AC390,'Training Matrix'!B$4:C$24,2,0),"")</f>
        <v/>
      </c>
      <c r="AE390" s="218"/>
      <c r="AF390" s="188" t="str">
        <f t="shared" si="457"/>
        <v/>
      </c>
      <c r="AG390" s="189" t="str">
        <f t="shared" ca="1" si="458"/>
        <v/>
      </c>
      <c r="AH390" s="50" t="str">
        <f t="shared" ref="AH390" si="544">IF(OR(AC390="",AE390=""),"",CONCATENATE(AC390,"_",K382,"_",L382))</f>
        <v/>
      </c>
    </row>
    <row r="391" spans="1:34" x14ac:dyDescent="0.25">
      <c r="A391" s="5" t="str">
        <f>IF(LEFT(F391,15)='SOP template'!$B$1,1,"")</f>
        <v/>
      </c>
      <c r="B391" s="190" t="str">
        <f t="shared" si="532"/>
        <v>SOP.022.10</v>
      </c>
      <c r="C391" s="190" t="str">
        <f t="shared" si="535"/>
        <v>SOP.022.5.4</v>
      </c>
      <c r="D391" s="190" t="str">
        <f t="shared" si="536"/>
        <v>SOP.022.4</v>
      </c>
      <c r="E391" s="190">
        <f t="shared" si="542"/>
        <v>10</v>
      </c>
      <c r="F391" s="190" t="str">
        <f t="shared" si="533"/>
        <v>ALP.BSP.SOP.022.10</v>
      </c>
      <c r="G391" s="190" t="str">
        <f>IF(ISBLANK(N391),"",CONCATENATE(LEFT(F391,15),".",INDEX(Ref!A:A,MATCH(N391,Ref!$K$1:$K$333,0))))</f>
        <v/>
      </c>
      <c r="H391" s="181"/>
      <c r="I391" s="183"/>
      <c r="J391" s="181"/>
      <c r="K391" s="181"/>
      <c r="L391" s="182"/>
      <c r="M391" s="182"/>
      <c r="N391" s="183"/>
      <c r="O391" s="182"/>
      <c r="P391" s="182"/>
      <c r="Q391" s="184"/>
      <c r="R391" s="184"/>
      <c r="S391" s="185" t="str">
        <f>IFERROR(CLEAN(INDEX('Risk Matrix'!$H$7:$L$11,MATCH($Q391,'Risk Matrix'!$F$7:$F$11,0),MATCH($R391,'Risk Matrix'!$H$6:$L$6,0))),"")</f>
        <v/>
      </c>
      <c r="T391" s="85" t="str">
        <f>IF(LEFT($B391,7)=RIGHT('SOP template'!$B$1,7),_xlfn.NUMBERVALUE(RIGHT($S391,2)),"")</f>
        <v/>
      </c>
      <c r="U391" s="182"/>
      <c r="V391" s="182"/>
      <c r="W391" s="182"/>
      <c r="X391" s="182"/>
      <c r="Y391" s="182"/>
      <c r="Z391" s="183"/>
      <c r="AA391" s="186" t="str">
        <f>IFERROR(VLOOKUP(IFERROR(LEFT(S391,4),""),Ref!$AF$2:$AG$5,2,0),"")</f>
        <v/>
      </c>
      <c r="AB391" s="146"/>
      <c r="AC391" s="218"/>
      <c r="AD391" s="187" t="str">
        <f>IFERROR(VLOOKUP(AC391,'Training Matrix'!B$4:C$24,2,0),"")</f>
        <v/>
      </c>
      <c r="AE391" s="218"/>
      <c r="AF391" s="188" t="str">
        <f t="shared" si="457"/>
        <v/>
      </c>
      <c r="AG391" s="189" t="str">
        <f t="shared" ca="1" si="458"/>
        <v/>
      </c>
      <c r="AH391" s="50" t="str">
        <f t="shared" ref="AH391" si="545">IF(OR(AC391="",AE391=""),"",CONCATENATE(AC391,"_",K382,"_",L382))</f>
        <v/>
      </c>
    </row>
    <row r="392" spans="1:34" x14ac:dyDescent="0.25">
      <c r="A392" s="5" t="str">
        <f>IF(LEFT(F392,15)='SOP template'!$B$1,1,"")</f>
        <v/>
      </c>
      <c r="B392" s="190" t="str">
        <f t="shared" ref="B392:B399" si="546">CONCATENATE(LEFT(B391,8),E392)</f>
        <v>SOP.022.11</v>
      </c>
      <c r="C392" s="190" t="str">
        <f t="shared" si="535"/>
        <v>SOP.022.6</v>
      </c>
      <c r="D392" s="190" t="str">
        <f t="shared" si="536"/>
        <v>SOP.022.4.3</v>
      </c>
      <c r="E392" s="190">
        <f t="shared" si="542"/>
        <v>11</v>
      </c>
      <c r="F392" s="190" t="str">
        <f t="shared" ref="F392:F399" si="547">IF(K392=0,LEFT(F391,16)&amp;TEXT(E392,"00"),K392&amp;"."&amp;TEXT(E392,"00"))</f>
        <v>ALP.BSP.SOP.022.11</v>
      </c>
      <c r="G392" s="190" t="str">
        <f>IF(ISBLANK(N392),"",CONCATENATE(LEFT(F392,15),".",INDEX(Ref!A:A,MATCH(N392,Ref!$K$1:$K$333,0))))</f>
        <v/>
      </c>
      <c r="H392" s="181"/>
      <c r="I392" s="183"/>
      <c r="J392" s="181"/>
      <c r="K392" s="181"/>
      <c r="L392" s="182"/>
      <c r="M392" s="182"/>
      <c r="N392" s="183"/>
      <c r="O392" s="182"/>
      <c r="P392" s="182"/>
      <c r="Q392" s="184"/>
      <c r="R392" s="184"/>
      <c r="S392" s="185" t="str">
        <f>IFERROR(CLEAN(INDEX('Risk Matrix'!$H$7:$L$11,MATCH($Q392,'Risk Matrix'!$F$7:$F$11,0),MATCH($R392,'Risk Matrix'!$H$6:$L$6,0))),"")</f>
        <v/>
      </c>
      <c r="T392" s="85" t="str">
        <f>IF(LEFT($B392,7)=RIGHT('SOP template'!$B$1,7),_xlfn.NUMBERVALUE(RIGHT($S392,2)),"")</f>
        <v/>
      </c>
      <c r="U392" s="182"/>
      <c r="V392" s="182"/>
      <c r="W392" s="182"/>
      <c r="X392" s="182"/>
      <c r="Y392" s="182"/>
      <c r="Z392" s="183"/>
      <c r="AA392" s="186" t="str">
        <f>IFERROR(VLOOKUP(IFERROR(LEFT(S392,4),""),Ref!$AF$2:$AG$5,2,0),"")</f>
        <v/>
      </c>
      <c r="AB392" s="146"/>
      <c r="AC392" s="218"/>
      <c r="AD392" s="187" t="str">
        <f>IFERROR(VLOOKUP(AC392,'Training Matrix'!B$4:C$24,2,0),"")</f>
        <v/>
      </c>
      <c r="AE392" s="218"/>
      <c r="AF392" s="188" t="str">
        <f t="shared" si="457"/>
        <v/>
      </c>
      <c r="AG392" s="189" t="str">
        <f t="shared" ca="1" si="458"/>
        <v/>
      </c>
      <c r="AH392" s="50" t="str">
        <f t="shared" ref="AH392" si="548">IF(OR(AC392="",AE392=""),"",CONCATENATE(AC392,"_",K382,"_",L382))</f>
        <v/>
      </c>
    </row>
    <row r="393" spans="1:34" x14ac:dyDescent="0.25">
      <c r="A393" s="5" t="str">
        <f>IF(LEFT(F393,15)='SOP template'!$B$1,1,"")</f>
        <v/>
      </c>
      <c r="B393" s="190" t="str">
        <f t="shared" si="546"/>
        <v>SOP.022.12</v>
      </c>
      <c r="C393" s="190" t="str">
        <f t="shared" si="535"/>
        <v>SOP.022.6.4</v>
      </c>
      <c r="D393" s="190" t="str">
        <f t="shared" si="536"/>
        <v>SOP.022.4.5</v>
      </c>
      <c r="E393" s="190">
        <f t="shared" si="542"/>
        <v>12</v>
      </c>
      <c r="F393" s="190" t="str">
        <f t="shared" si="547"/>
        <v>ALP.BSP.SOP.022.12</v>
      </c>
      <c r="G393" s="190" t="str">
        <f>IF(ISBLANK(N393),"",CONCATENATE(LEFT(F393,15),".",INDEX(Ref!A:A,MATCH(N393,Ref!$K$1:$K$333,0))))</f>
        <v/>
      </c>
      <c r="H393" s="181"/>
      <c r="I393" s="183"/>
      <c r="J393" s="181"/>
      <c r="K393" s="181"/>
      <c r="L393" s="182"/>
      <c r="M393" s="182"/>
      <c r="N393" s="183"/>
      <c r="O393" s="182"/>
      <c r="P393" s="182"/>
      <c r="Q393" s="184"/>
      <c r="R393" s="184"/>
      <c r="S393" s="185" t="str">
        <f>IFERROR(CLEAN(INDEX('Risk Matrix'!$H$7:$L$11,MATCH($Q393,'Risk Matrix'!$F$7:$F$11,0),MATCH($R393,'Risk Matrix'!$H$6:$L$6,0))),"")</f>
        <v/>
      </c>
      <c r="T393" s="85" t="str">
        <f>IF(LEFT($B393,7)=RIGHT('SOP template'!$B$1,7),_xlfn.NUMBERVALUE(RIGHT($S393,2)),"")</f>
        <v/>
      </c>
      <c r="U393" s="182"/>
      <c r="V393" s="182"/>
      <c r="W393" s="182"/>
      <c r="X393" s="182"/>
      <c r="Y393" s="182"/>
      <c r="Z393" s="183"/>
      <c r="AA393" s="186" t="str">
        <f>IFERROR(VLOOKUP(IFERROR(LEFT(S393,4),""),Ref!$AF$2:$AG$5,2,0),"")</f>
        <v/>
      </c>
      <c r="AB393" s="146"/>
      <c r="AC393" s="218"/>
      <c r="AD393" s="187" t="str">
        <f>IFERROR(VLOOKUP(AC393,'Training Matrix'!B$4:C$24,2,0),"")</f>
        <v/>
      </c>
      <c r="AE393" s="218"/>
      <c r="AF393" s="188" t="str">
        <f t="shared" si="457"/>
        <v/>
      </c>
      <c r="AG393" s="189" t="str">
        <f t="shared" ca="1" si="458"/>
        <v/>
      </c>
      <c r="AH393" s="50" t="str">
        <f t="shared" ref="AH393" si="549">IF(OR(AC393="",AE393=""),"",CONCATENATE(AC393,"_",K382,"_",L382))</f>
        <v/>
      </c>
    </row>
    <row r="394" spans="1:34" x14ac:dyDescent="0.25">
      <c r="A394" s="5" t="str">
        <f>IF(LEFT(F394,15)='SOP template'!$B$1,1,"")</f>
        <v/>
      </c>
      <c r="B394" s="190" t="str">
        <f t="shared" si="546"/>
        <v>SOP.022.13</v>
      </c>
      <c r="C394" s="190" t="str">
        <f t="shared" si="535"/>
        <v>SOP.022.</v>
      </c>
      <c r="D394" s="190" t="str">
        <f t="shared" si="536"/>
        <v>SOP.022.</v>
      </c>
      <c r="E394" s="190">
        <f t="shared" si="542"/>
        <v>13</v>
      </c>
      <c r="F394" s="190" t="str">
        <f t="shared" si="547"/>
        <v>ALP.BSP.SOP.022.13</v>
      </c>
      <c r="G394" s="190" t="str">
        <f>IF(ISBLANK(N394),"",CONCATENATE(LEFT(F394,15),".",INDEX(Ref!A:A,MATCH(N394,Ref!$K$1:$K$333,0))))</f>
        <v/>
      </c>
      <c r="H394" s="181"/>
      <c r="I394" s="183"/>
      <c r="J394" s="181"/>
      <c r="K394" s="181"/>
      <c r="L394" s="182"/>
      <c r="M394" s="182"/>
      <c r="N394" s="183"/>
      <c r="O394" s="182"/>
      <c r="P394" s="182"/>
      <c r="Q394" s="184"/>
      <c r="R394" s="184"/>
      <c r="S394" s="185" t="str">
        <f>IFERROR(CLEAN(INDEX('Risk Matrix'!$H$7:$L$11,MATCH($Q394,'Risk Matrix'!$F$7:$F$11,0),MATCH($R394,'Risk Matrix'!$H$6:$L$6,0))),"")</f>
        <v/>
      </c>
      <c r="T394" s="85" t="str">
        <f>IF(LEFT($B394,7)=RIGHT('SOP template'!$B$1,7),_xlfn.NUMBERVALUE(RIGHT($S394,2)),"")</f>
        <v/>
      </c>
      <c r="U394" s="182"/>
      <c r="V394" s="182"/>
      <c r="W394" s="182"/>
      <c r="X394" s="182"/>
      <c r="Y394" s="182"/>
      <c r="Z394" s="183"/>
      <c r="AA394" s="186" t="str">
        <f>IFERROR(VLOOKUP(IFERROR(LEFT(S394,4),""),Ref!$AF$2:$AG$5,2,0),"")</f>
        <v/>
      </c>
      <c r="AB394" s="146"/>
      <c r="AC394" s="218"/>
      <c r="AD394" s="187" t="str">
        <f>IFERROR(VLOOKUP(AC394,'Training Matrix'!B$4:C$24,2,0),"")</f>
        <v/>
      </c>
      <c r="AE394" s="218"/>
      <c r="AF394" s="188" t="str">
        <f t="shared" ref="AF394:AF457" si="550">IF(AE394="","",EDATE(AE394,AB$4))</f>
        <v/>
      </c>
      <c r="AG394" s="189" t="str">
        <f t="shared" ref="AG394:AG457" ca="1" si="551">IF(AE394="","",IF(TODAY()&gt;AF394,"Overdue","Current"))</f>
        <v/>
      </c>
      <c r="AH394" s="50" t="str">
        <f t="shared" ref="AH394" si="552">IF(OR(AC394="",AE394=""),"",CONCATENATE(AC394,"_",K382,"_",L382))</f>
        <v/>
      </c>
    </row>
    <row r="395" spans="1:34" x14ac:dyDescent="0.25">
      <c r="A395" s="5" t="str">
        <f>IF(LEFT(F395,15)='SOP template'!$B$1,1,"")</f>
        <v/>
      </c>
      <c r="B395" s="190" t="str">
        <f t="shared" si="546"/>
        <v>SOP.022.14</v>
      </c>
      <c r="C395" s="190" t="str">
        <f t="shared" si="535"/>
        <v>SOP.022.</v>
      </c>
      <c r="D395" s="190" t="str">
        <f t="shared" si="536"/>
        <v>SOP.022.</v>
      </c>
      <c r="E395" s="190">
        <f t="shared" si="542"/>
        <v>14</v>
      </c>
      <c r="F395" s="190" t="str">
        <f t="shared" si="547"/>
        <v>ALP.BSP.SOP.022.14</v>
      </c>
      <c r="G395" s="190" t="str">
        <f>IF(ISBLANK(N395),"",CONCATENATE(LEFT(F395,15),".",INDEX(Ref!A:A,MATCH(N395,Ref!$K$1:$K$333,0))))</f>
        <v/>
      </c>
      <c r="H395" s="181"/>
      <c r="I395" s="183"/>
      <c r="J395" s="181"/>
      <c r="K395" s="181"/>
      <c r="L395" s="182"/>
      <c r="M395" s="182"/>
      <c r="N395" s="183"/>
      <c r="O395" s="182"/>
      <c r="P395" s="182"/>
      <c r="Q395" s="184"/>
      <c r="R395" s="184"/>
      <c r="S395" s="185" t="str">
        <f>IFERROR(CLEAN(INDEX('Risk Matrix'!$H$7:$L$11,MATCH($Q395,'Risk Matrix'!$F$7:$F$11,0),MATCH($R395,'Risk Matrix'!$H$6:$L$6,0))),"")</f>
        <v/>
      </c>
      <c r="T395" s="85" t="str">
        <f>IF(LEFT($B395,7)=RIGHT('SOP template'!$B$1,7),_xlfn.NUMBERVALUE(RIGHT($S395,2)),"")</f>
        <v/>
      </c>
      <c r="U395" s="182"/>
      <c r="V395" s="182"/>
      <c r="W395" s="182"/>
      <c r="X395" s="182"/>
      <c r="Y395" s="182"/>
      <c r="Z395" s="183"/>
      <c r="AA395" s="186" t="str">
        <f>IFERROR(VLOOKUP(IFERROR(LEFT(S395,4),""),Ref!$AF$2:$AG$5,2,0),"")</f>
        <v/>
      </c>
      <c r="AB395" s="146"/>
      <c r="AC395" s="218"/>
      <c r="AD395" s="187" t="str">
        <f>IFERROR(VLOOKUP(AC395,'Training Matrix'!B$4:C$24,2,0),"")</f>
        <v/>
      </c>
      <c r="AE395" s="218"/>
      <c r="AF395" s="188" t="str">
        <f t="shared" si="550"/>
        <v/>
      </c>
      <c r="AG395" s="189" t="str">
        <f t="shared" ca="1" si="551"/>
        <v/>
      </c>
      <c r="AH395" s="50" t="str">
        <f t="shared" ref="AH395" si="553">IF(OR(AC395="",AE395=""),"",CONCATENATE(AC395,"_",K382,"_",L382))</f>
        <v/>
      </c>
    </row>
    <row r="396" spans="1:34" x14ac:dyDescent="0.25">
      <c r="A396" s="5" t="str">
        <f>IF(LEFT(F396,15)='SOP template'!$B$1,1,"")</f>
        <v/>
      </c>
      <c r="B396" s="190" t="str">
        <f t="shared" si="546"/>
        <v>SOP.022.15</v>
      </c>
      <c r="C396" s="190" t="str">
        <f t="shared" si="535"/>
        <v>SOP.022.</v>
      </c>
      <c r="D396" s="190" t="str">
        <f t="shared" si="536"/>
        <v>SOP.022.</v>
      </c>
      <c r="E396" s="190">
        <f t="shared" si="542"/>
        <v>15</v>
      </c>
      <c r="F396" s="190" t="str">
        <f t="shared" si="547"/>
        <v>ALP.BSP.SOP.022.15</v>
      </c>
      <c r="G396" s="190" t="str">
        <f>IF(ISBLANK(N396),"",CONCATENATE(LEFT(F396,15),".",INDEX(Ref!A:A,MATCH(N396,Ref!$K$1:$K$333,0))))</f>
        <v/>
      </c>
      <c r="H396" s="181"/>
      <c r="I396" s="183"/>
      <c r="J396" s="181"/>
      <c r="K396" s="181"/>
      <c r="L396" s="182"/>
      <c r="M396" s="182"/>
      <c r="N396" s="183"/>
      <c r="O396" s="182"/>
      <c r="P396" s="182"/>
      <c r="Q396" s="184"/>
      <c r="R396" s="184"/>
      <c r="S396" s="185" t="str">
        <f>IFERROR(CLEAN(INDEX('Risk Matrix'!$H$7:$L$11,MATCH($Q396,'Risk Matrix'!$F$7:$F$11,0),MATCH($R396,'Risk Matrix'!$H$6:$L$6,0))),"")</f>
        <v/>
      </c>
      <c r="T396" s="85" t="str">
        <f>IF(LEFT($B396,7)=RIGHT('SOP template'!$B$1,7),_xlfn.NUMBERVALUE(RIGHT($S396,2)),"")</f>
        <v/>
      </c>
      <c r="U396" s="182"/>
      <c r="V396" s="182"/>
      <c r="W396" s="182"/>
      <c r="X396" s="182"/>
      <c r="Y396" s="182"/>
      <c r="Z396" s="183"/>
      <c r="AA396" s="186" t="str">
        <f>IFERROR(VLOOKUP(IFERROR(LEFT(S396,4),""),Ref!$AF$2:$AG$5,2,0),"")</f>
        <v/>
      </c>
      <c r="AB396" s="146"/>
      <c r="AC396" s="218"/>
      <c r="AD396" s="187" t="str">
        <f>IFERROR(VLOOKUP(AC396,'Training Matrix'!B$4:C$24,2,0),"")</f>
        <v/>
      </c>
      <c r="AE396" s="218"/>
      <c r="AF396" s="188" t="str">
        <f t="shared" si="550"/>
        <v/>
      </c>
      <c r="AG396" s="189" t="str">
        <f t="shared" ca="1" si="551"/>
        <v/>
      </c>
      <c r="AH396" s="50" t="str">
        <f t="shared" ref="AH396" si="554">IF(OR(AC396="",AE396=""),"",CONCATENATE(AC396,"_",K382,"_",L382))</f>
        <v/>
      </c>
    </row>
    <row r="397" spans="1:34" x14ac:dyDescent="0.25">
      <c r="A397" s="5" t="str">
        <f>IF(LEFT(F397,15)='SOP template'!$B$1,1,"")</f>
        <v/>
      </c>
      <c r="B397" s="190" t="str">
        <f t="shared" si="546"/>
        <v>SOP.022.16</v>
      </c>
      <c r="C397" s="190" t="str">
        <f t="shared" si="535"/>
        <v>SOP.022.</v>
      </c>
      <c r="D397" s="190" t="str">
        <f t="shared" si="536"/>
        <v>SOP.022.</v>
      </c>
      <c r="E397" s="190">
        <f t="shared" si="542"/>
        <v>16</v>
      </c>
      <c r="F397" s="190" t="str">
        <f t="shared" si="547"/>
        <v>ALP.BSP.SOP.022.16</v>
      </c>
      <c r="G397" s="190" t="str">
        <f>IF(ISBLANK(N397),"",CONCATENATE(LEFT(F397,15),".",INDEX(Ref!A:A,MATCH(N397,Ref!$K$1:$K$333,0))))</f>
        <v/>
      </c>
      <c r="H397" s="181"/>
      <c r="I397" s="183"/>
      <c r="J397" s="181"/>
      <c r="K397" s="181"/>
      <c r="L397" s="182"/>
      <c r="M397" s="182"/>
      <c r="N397" s="183"/>
      <c r="O397" s="182"/>
      <c r="P397" s="182"/>
      <c r="Q397" s="184"/>
      <c r="R397" s="184"/>
      <c r="S397" s="185" t="str">
        <f>IFERROR(CLEAN(INDEX('Risk Matrix'!$H$7:$L$11,MATCH($Q397,'Risk Matrix'!$F$7:$F$11,0),MATCH($R397,'Risk Matrix'!$H$6:$L$6,0))),"")</f>
        <v/>
      </c>
      <c r="T397" s="85" t="str">
        <f>IF(LEFT($B397,7)=RIGHT('SOP template'!$B$1,7),_xlfn.NUMBERVALUE(RIGHT($S397,2)),"")</f>
        <v/>
      </c>
      <c r="U397" s="182"/>
      <c r="V397" s="182"/>
      <c r="W397" s="182"/>
      <c r="X397" s="182"/>
      <c r="Y397" s="182"/>
      <c r="Z397" s="183"/>
      <c r="AA397" s="186" t="str">
        <f>IFERROR(VLOOKUP(IFERROR(LEFT(S397,4),""),Ref!$AF$2:$AG$5,2,0),"")</f>
        <v/>
      </c>
      <c r="AB397" s="146"/>
      <c r="AC397" s="218"/>
      <c r="AD397" s="187" t="str">
        <f>IFERROR(VLOOKUP(AC397,'Training Matrix'!B$4:C$24,2,0),"")</f>
        <v/>
      </c>
      <c r="AE397" s="218"/>
      <c r="AF397" s="188" t="str">
        <f t="shared" si="550"/>
        <v/>
      </c>
      <c r="AG397" s="189" t="str">
        <f t="shared" ca="1" si="551"/>
        <v/>
      </c>
      <c r="AH397" s="50" t="str">
        <f t="shared" ref="AH397" si="555">IF(OR(AC397="",AE397=""),"",CONCATENATE(AC397,"_",K382,"_",L382))</f>
        <v/>
      </c>
    </row>
    <row r="398" spans="1:34" x14ac:dyDescent="0.25">
      <c r="A398" s="5" t="str">
        <f>IF(LEFT(F398,15)='SOP template'!$B$1,1,"")</f>
        <v/>
      </c>
      <c r="B398" s="190" t="str">
        <f t="shared" si="546"/>
        <v>SOP.022.17</v>
      </c>
      <c r="C398" s="190" t="str">
        <f t="shared" si="535"/>
        <v>SOP.022.</v>
      </c>
      <c r="D398" s="190" t="str">
        <f t="shared" si="536"/>
        <v>SOP.022.</v>
      </c>
      <c r="E398" s="190">
        <f t="shared" si="542"/>
        <v>17</v>
      </c>
      <c r="F398" s="190" t="str">
        <f t="shared" si="547"/>
        <v>ALP.BSP.SOP.022.17</v>
      </c>
      <c r="G398" s="190" t="str">
        <f>IF(ISBLANK(N398),"",CONCATENATE(LEFT(F398,15),".",INDEX(Ref!A:A,MATCH(N398,Ref!$K$1:$K$333,0))))</f>
        <v/>
      </c>
      <c r="H398" s="181"/>
      <c r="I398" s="183"/>
      <c r="J398" s="181"/>
      <c r="K398" s="181"/>
      <c r="L398" s="182"/>
      <c r="M398" s="182"/>
      <c r="N398" s="183"/>
      <c r="O398" s="182"/>
      <c r="P398" s="182"/>
      <c r="Q398" s="184"/>
      <c r="R398" s="184"/>
      <c r="S398" s="185" t="str">
        <f>IFERROR(CLEAN(INDEX('Risk Matrix'!$H$7:$L$11,MATCH($Q398,'Risk Matrix'!$F$7:$F$11,0),MATCH($R398,'Risk Matrix'!$H$6:$L$6,0))),"")</f>
        <v/>
      </c>
      <c r="T398" s="85" t="str">
        <f>IF(LEFT($B398,7)=RIGHT('SOP template'!$B$1,7),_xlfn.NUMBERVALUE(RIGHT($S398,2)),"")</f>
        <v/>
      </c>
      <c r="U398" s="182"/>
      <c r="V398" s="182"/>
      <c r="W398" s="182"/>
      <c r="X398" s="182"/>
      <c r="Y398" s="182"/>
      <c r="Z398" s="183"/>
      <c r="AA398" s="186" t="str">
        <f>IFERROR(VLOOKUP(IFERROR(LEFT(S398,4),""),Ref!$AF$2:$AG$5,2,0),"")</f>
        <v/>
      </c>
      <c r="AB398" s="146"/>
      <c r="AC398" s="218"/>
      <c r="AD398" s="187" t="str">
        <f>IFERROR(VLOOKUP(AC398,'Training Matrix'!B$4:C$24,2,0),"")</f>
        <v/>
      </c>
      <c r="AE398" s="218"/>
      <c r="AF398" s="188" t="str">
        <f t="shared" si="550"/>
        <v/>
      </c>
      <c r="AG398" s="189" t="str">
        <f t="shared" ca="1" si="551"/>
        <v/>
      </c>
      <c r="AH398" s="50" t="str">
        <f t="shared" ref="AH398" si="556">IF(OR(AC398="",AE398=""),"",CONCATENATE(AC398,"_",K382,"_",L382))</f>
        <v/>
      </c>
    </row>
    <row r="399" spans="1:34" x14ac:dyDescent="0.25">
      <c r="A399" s="5" t="str">
        <f>IF(LEFT(F399,15)='SOP template'!$B$1,1,"")</f>
        <v/>
      </c>
      <c r="B399" s="190" t="str">
        <f t="shared" si="546"/>
        <v>SOP.022.18</v>
      </c>
      <c r="C399" s="190" t="str">
        <f t="shared" si="535"/>
        <v>SOP.022.</v>
      </c>
      <c r="D399" s="190" t="str">
        <f t="shared" si="536"/>
        <v>SOP.022.</v>
      </c>
      <c r="E399" s="190">
        <f t="shared" si="542"/>
        <v>18</v>
      </c>
      <c r="F399" s="190" t="str">
        <f t="shared" si="547"/>
        <v>ALP.BSP.SOP.022.18</v>
      </c>
      <c r="G399" s="190" t="str">
        <f>IF(ISBLANK(N399),"",CONCATENATE(LEFT(F399,15),".",INDEX(Ref!A:A,MATCH(N399,Ref!$K$1:$K$333,0))))</f>
        <v/>
      </c>
      <c r="H399" s="181"/>
      <c r="I399" s="183"/>
      <c r="J399" s="181"/>
      <c r="K399" s="181"/>
      <c r="L399" s="182"/>
      <c r="M399" s="182"/>
      <c r="N399" s="183"/>
      <c r="O399" s="182"/>
      <c r="P399" s="182"/>
      <c r="Q399" s="184"/>
      <c r="R399" s="184"/>
      <c r="S399" s="185" t="str">
        <f>IFERROR(CLEAN(INDEX('Risk Matrix'!$H$7:$L$11,MATCH($Q399,'Risk Matrix'!$F$7:$F$11,0),MATCH($R399,'Risk Matrix'!$H$6:$L$6,0))),"")</f>
        <v/>
      </c>
      <c r="T399" s="85" t="str">
        <f>IF(LEFT($B399,7)=RIGHT('SOP template'!$B$1,7),_xlfn.NUMBERVALUE(RIGHT($S399,2)),"")</f>
        <v/>
      </c>
      <c r="U399" s="182"/>
      <c r="V399" s="182"/>
      <c r="W399" s="182"/>
      <c r="X399" s="182"/>
      <c r="Y399" s="182"/>
      <c r="Z399" s="183"/>
      <c r="AA399" s="186" t="str">
        <f>IFERROR(VLOOKUP(IFERROR(LEFT(S399,4),""),Ref!$AF$2:$AG$5,2,0),"")</f>
        <v/>
      </c>
      <c r="AB399" s="146"/>
      <c r="AC399" s="218"/>
      <c r="AD399" s="187" t="str">
        <f>IFERROR(VLOOKUP(AC399,'Training Matrix'!B$4:C$24,2,0),"")</f>
        <v/>
      </c>
      <c r="AE399" s="218"/>
      <c r="AF399" s="188" t="str">
        <f t="shared" si="550"/>
        <v/>
      </c>
      <c r="AG399" s="189" t="str">
        <f t="shared" ca="1" si="551"/>
        <v/>
      </c>
      <c r="AH399" s="50" t="str">
        <f t="shared" ref="AH399" si="557">IF(OR(AC399="",AE399=""),"",CONCATENATE(AC399,"_",K382,"_",L382))</f>
        <v/>
      </c>
    </row>
    <row r="400" spans="1:34" ht="75" x14ac:dyDescent="0.25">
      <c r="A400" s="5" t="str">
        <f>IF(LEFT(F400,15)='SOP template'!$B$1,1,"")</f>
        <v/>
      </c>
      <c r="B400" s="179" t="str">
        <f t="shared" ref="B400" si="558">IF(ISBLANK($K400),CONCATENATE($B$2,".",TEXT(J400,"000"),".",$E400),CONCATENATE(RIGHT($K400,7),".1"))</f>
        <v>SOP.023.1</v>
      </c>
      <c r="C400" s="179" t="str">
        <f>IF(ISBLANK($K400),CONCATENATE(LEFT(#REF!,8),IF($E400=1,1.1,IF($E400=2,1.4,IF($E400=3,2,IF($E400=4,2.4,IF($E400=5,3,IF($E400=6,3.4,IF($E400=7,4,IF($E400=8,4.4,IF($E400=9,5,IF($E400=10,5.4,IF($E400=11,6,IF($E400=12,6.4,""))))))))))))),CONCATENATE(RIGHT($K400,7),".1"))</f>
        <v>SOP.023.1</v>
      </c>
      <c r="D400" s="179" t="str">
        <f>IF(ISBLANK($K400),CONCATENATE(LEFT(#REF!,8),IF($E400=1,1,IF($E400=2,1.3,IF($E400=3,1.5,IF($E400=4,2,IF($E400=5,2.3,IF($E400=6,2.5,IF($E400=7,3,IF($E400=8,3.3,IF($E400=9,3.5,IF($E400=10,4,IF($E400=11,4.3,IF($E400=12,4.5,""))))))))))))),CONCATENATE(RIGHT($K400,7),".1"))</f>
        <v>SOP.023.1</v>
      </c>
      <c r="E400" s="179">
        <f t="shared" si="542"/>
        <v>1</v>
      </c>
      <c r="F400" s="179" t="str">
        <f t="shared" ref="F400" si="559">K400&amp;"."&amp;TEXT(E400,"00")</f>
        <v>ALP.BSP.SOP.023.01</v>
      </c>
      <c r="G400" s="179" t="str">
        <f>IF(ISBLANK(N400),"",CONCATENATE(LEFT(F400,15),".",INDEX(Ref!A:A,MATCH(N400,Ref!$K$1:$K$333,0))))</f>
        <v>ALP.BSP.SOP.023.2</v>
      </c>
      <c r="H400" s="217" t="s">
        <v>394</v>
      </c>
      <c r="I400" s="217" t="s">
        <v>275</v>
      </c>
      <c r="J400" s="180">
        <v>23</v>
      </c>
      <c r="K400" s="181" t="str">
        <f>IFERROR(CONCATENATE(INDEX(Ref!$Z$2:$Z$8,MATCH(H400,Ref!$AA$2:$AA$8,0)),".",I400,".SOP.",TEXT(J400,"000")),CONCATENATE(H400,".",I400,".SOP.",TEXT(J400,"000")))</f>
        <v>ALP.BSP.SOP.023</v>
      </c>
      <c r="L400" s="191" t="s">
        <v>1018</v>
      </c>
      <c r="M400" s="182" t="s">
        <v>1019</v>
      </c>
      <c r="N400" s="183" t="s">
        <v>94</v>
      </c>
      <c r="O400" s="182" t="s">
        <v>411</v>
      </c>
      <c r="P400" s="182" t="s">
        <v>636</v>
      </c>
      <c r="Q400" s="184" t="s">
        <v>92</v>
      </c>
      <c r="R400" s="184" t="s">
        <v>90</v>
      </c>
      <c r="S400" s="185" t="str">
        <f>IFERROR(CLEAN(INDEX('Risk Matrix'!$H$7:$L$11,MATCH($Q400,'Risk Matrix'!$F$7:$F$11,0),MATCH($R400,'Risk Matrix'!$H$6:$L$6,0))),"")</f>
        <v>Medium 2</v>
      </c>
      <c r="T400" s="85" t="str">
        <f>IF(LEFT($B400,7)=RIGHT('SOP template'!$B$1,7),_xlfn.NUMBERVALUE(RIGHT($S400,2)),"")</f>
        <v/>
      </c>
      <c r="U400" s="182" t="s">
        <v>911</v>
      </c>
      <c r="V400" s="182" t="s">
        <v>884</v>
      </c>
      <c r="W400" s="182" t="s">
        <v>1024</v>
      </c>
      <c r="X400" s="182" t="s">
        <v>1025</v>
      </c>
      <c r="Y400" s="182" t="s">
        <v>1021</v>
      </c>
      <c r="Z400" s="182" t="s">
        <v>915</v>
      </c>
      <c r="AA400" s="186">
        <f>IFERROR(VLOOKUP(IFERROR(LEFT(S400,4),""),Ref!$AF$2:$AG$5,2,0),"")</f>
        <v>24</v>
      </c>
      <c r="AB400" s="186">
        <f>MIN($AA400:$AA417)</f>
        <v>24</v>
      </c>
      <c r="AC400" s="218" t="s">
        <v>289</v>
      </c>
      <c r="AD400" s="187" t="str">
        <f>IFERROR(VLOOKUP(AC400,'Training Matrix'!B$4:C$24,2,0),"")</f>
        <v>Dock Manager</v>
      </c>
      <c r="AE400" s="221">
        <v>45792</v>
      </c>
      <c r="AF400" s="188">
        <f t="shared" si="550"/>
        <v>46522</v>
      </c>
      <c r="AG400" s="189" t="str">
        <f t="shared" ca="1" si="551"/>
        <v>Current</v>
      </c>
      <c r="AH400" s="50" t="str">
        <f t="shared" ref="AH400" si="560">IF(OR(AC400="",AE400=""),"",CONCATENATE(AC400,"_",K400,"_",L400))</f>
        <v>Person 1_ALP.BSP.SOP.023_Biological Spill Response</v>
      </c>
    </row>
    <row r="401" spans="1:34" ht="60" x14ac:dyDescent="0.25">
      <c r="A401" s="5" t="str">
        <f>IF(LEFT(F401,15)='SOP template'!$B$1,1,"")</f>
        <v/>
      </c>
      <c r="B401" s="190" t="str">
        <f t="shared" ref="B401:B409" si="561">CONCATENATE(LEFT(B400,8),E401)</f>
        <v>SOP.023.2</v>
      </c>
      <c r="C401" s="190" t="str">
        <f>IF(ISBLANK($K401),CONCATENATE(LEFT($B400,8),IF($E401=1,1.1,IF($E401=2,1.4,IF($E401=3,2,IF($E401=4,2.4,IF($E401=5,3,IF($E401=6,3.4,IF($E401=7,4,IF($E401=8,4.4,IF($E401=9,5,IF($E401=10,5.4,IF($E401=11,6,IF($E401=12,6.4,""))))))))))))),CONCATENATE(RIGHT($K401,7),".1"))</f>
        <v>SOP.023.1.4</v>
      </c>
      <c r="D401" s="190" t="str">
        <f>IF(ISBLANK($K401),CONCATENATE(LEFT($B400,8),IF($E401=1,1,IF($E401=2,1.3,IF($E401=3,1.5,IF($E401=4,2,IF($E401=5,2.3,IF($E401=6,2.5,IF($E401=7,3,IF($E401=8,3.3,IF($E401=9,3.5,IF($E401=10,4,IF($E401=11,4.3,IF($E401=12,4.5,""))))))))))))),CONCATENATE(RIGHT($K401,7),".1"))</f>
        <v>SOP.023.1.3</v>
      </c>
      <c r="E401" s="190">
        <f t="shared" si="542"/>
        <v>2</v>
      </c>
      <c r="F401" s="190" t="str">
        <f t="shared" ref="F401:F409" si="562">IF(K401=0,LEFT(F400,16)&amp;TEXT(E401,"00"),K401&amp;"."&amp;TEXT(E401,"00"))</f>
        <v>ALP.BSP.SOP.023.02</v>
      </c>
      <c r="G401" s="190" t="str">
        <f>IF(ISBLANK(N401),"",CONCATENATE(LEFT(F401,15),".",INDEX(Ref!A:A,MATCH(N401,Ref!$K$1:$K$333,0))))</f>
        <v>ALP.BSP.SOP.023.7</v>
      </c>
      <c r="H401" s="181"/>
      <c r="I401" s="183"/>
      <c r="J401" s="181"/>
      <c r="K401" s="181"/>
      <c r="L401" s="182"/>
      <c r="M401" s="182"/>
      <c r="N401" s="183" t="s">
        <v>88</v>
      </c>
      <c r="O401" s="182" t="s">
        <v>1008</v>
      </c>
      <c r="P401" s="182" t="s">
        <v>418</v>
      </c>
      <c r="Q401" s="184" t="s">
        <v>89</v>
      </c>
      <c r="R401" s="184" t="s">
        <v>91</v>
      </c>
      <c r="S401" s="185" t="str">
        <f>IFERROR(CLEAN(INDEX('Risk Matrix'!$H$7:$L$11,MATCH($Q401,'Risk Matrix'!$F$7:$F$11,0),MATCH($R401,'Risk Matrix'!$H$6:$L$6,0))),"")</f>
        <v>Low 1</v>
      </c>
      <c r="T401" s="85" t="str">
        <f>IF(LEFT($B401,7)=RIGHT('SOP template'!$B$1,7),_xlfn.NUMBERVALUE(RIGHT($S401,2)),"")</f>
        <v/>
      </c>
      <c r="U401" s="182" t="s">
        <v>887</v>
      </c>
      <c r="V401" s="182" t="s">
        <v>916</v>
      </c>
      <c r="W401" s="182" t="s">
        <v>917</v>
      </c>
      <c r="X401" s="182" t="s">
        <v>918</v>
      </c>
      <c r="Y401" s="182" t="s">
        <v>919</v>
      </c>
      <c r="Z401" s="183" t="s">
        <v>662</v>
      </c>
      <c r="AA401" s="186">
        <f>IFERROR(VLOOKUP(IFERROR(LEFT(S401,4),""),Ref!$AF$2:$AG$5,2,0),"")</f>
        <v>36</v>
      </c>
      <c r="AB401" s="146"/>
      <c r="AC401" s="219" t="s">
        <v>290</v>
      </c>
      <c r="AD401" s="187" t="str">
        <f>IFERROR(VLOOKUP(AC401,'Training Matrix'!B$4:C$24,2,0),"")</f>
        <v>WHS Team member</v>
      </c>
      <c r="AE401" s="221">
        <v>45792</v>
      </c>
      <c r="AF401" s="188">
        <f t="shared" si="550"/>
        <v>46522</v>
      </c>
      <c r="AG401" s="189" t="str">
        <f t="shared" ca="1" si="551"/>
        <v>Current</v>
      </c>
      <c r="AH401" s="50" t="str">
        <f t="shared" ref="AH401" si="563">IF(OR(AC401="",AE401=""),"",CONCATENATE(AC401,"_",K400,"_",L400))</f>
        <v>Person 2_ALP.BSP.SOP.023_Biological Spill Response</v>
      </c>
    </row>
    <row r="402" spans="1:34" ht="45" x14ac:dyDescent="0.25">
      <c r="A402" s="5" t="str">
        <f>IF(LEFT(F402,15)='SOP template'!$B$1,1,"")</f>
        <v/>
      </c>
      <c r="B402" s="190" t="str">
        <f t="shared" si="561"/>
        <v>SOP.023.3</v>
      </c>
      <c r="C402" s="190" t="str">
        <f t="shared" ref="C402:C417" si="564">IF(ISBLANK($K402),CONCATENATE(LEFT($B401,8),IF($E402=1,1.1,IF($E402=2,1.4,IF($E402=3,2,IF($E402=4,2.4,IF($E402=5,3,IF($E402=6,3.4,IF($E402=7,4,IF($E402=8,4.4,IF($E402=9,5,IF($E402=10,5.4,IF($E402=11,6,IF($E402=12,6.4,""))))))))))))),CONCATENATE(RIGHT($K402,7),".1"))</f>
        <v>SOP.023.2</v>
      </c>
      <c r="D402" s="190" t="str">
        <f t="shared" ref="D402:D417" si="565">IF(ISBLANK($K402),CONCATENATE(LEFT($B401,8),IF($E402=1,1,IF($E402=2,1.3,IF($E402=3,1.5,IF($E402=4,2,IF($E402=5,2.3,IF($E402=6,2.5,IF($E402=7,3,IF($E402=8,3.3,IF($E402=9,3.5,IF($E402=10,4,IF($E402=11,4.3,IF($E402=12,4.5,""))))))))))))),CONCATENATE(RIGHT($K402,7),".1"))</f>
        <v>SOP.023.1.5</v>
      </c>
      <c r="E402" s="190">
        <f t="shared" si="542"/>
        <v>3</v>
      </c>
      <c r="F402" s="190" t="str">
        <f t="shared" si="562"/>
        <v>ALP.BSP.SOP.023.03</v>
      </c>
      <c r="G402" s="190" t="str">
        <f>IF(ISBLANK(N402),"",CONCATENATE(LEFT(F402,15),".",INDEX(Ref!A:A,MATCH(N402,Ref!$K$1:$K$333,0))))</f>
        <v>ALP.BSP.SOP.023.12</v>
      </c>
      <c r="H402" s="181"/>
      <c r="I402" s="183"/>
      <c r="J402" s="181"/>
      <c r="K402" s="181"/>
      <c r="L402" s="182"/>
      <c r="M402" s="182"/>
      <c r="N402" s="183" t="s">
        <v>125</v>
      </c>
      <c r="O402" s="182" t="s">
        <v>548</v>
      </c>
      <c r="P402" s="182" t="s">
        <v>981</v>
      </c>
      <c r="Q402" s="184" t="s">
        <v>89</v>
      </c>
      <c r="R402" s="184" t="s">
        <v>91</v>
      </c>
      <c r="S402" s="185" t="str">
        <f>IFERROR(CLEAN(INDEX('Risk Matrix'!$H$7:$L$11,MATCH($Q402,'Risk Matrix'!$F$7:$F$11,0),MATCH($R402,'Risk Matrix'!$H$6:$L$6,0))),"")</f>
        <v>Low 1</v>
      </c>
      <c r="T402" s="85" t="str">
        <f>IF(LEFT($B402,7)=RIGHT('SOP template'!$B$1,7),_xlfn.NUMBERVALUE(RIGHT($S402,2)),"")</f>
        <v/>
      </c>
      <c r="U402" s="182" t="s">
        <v>494</v>
      </c>
      <c r="V402" s="182"/>
      <c r="W402" s="182" t="s">
        <v>1023</v>
      </c>
      <c r="X402" s="182" t="s">
        <v>921</v>
      </c>
      <c r="Y402" s="182" t="s">
        <v>922</v>
      </c>
      <c r="Z402" s="183"/>
      <c r="AA402" s="186">
        <f>IFERROR(VLOOKUP(IFERROR(LEFT(S402,4),""),Ref!$AF$2:$AG$5,2,0),"")</f>
        <v>36</v>
      </c>
      <c r="AB402" s="146"/>
      <c r="AC402" s="219" t="s">
        <v>167</v>
      </c>
      <c r="AD402" s="187" t="str">
        <f>IFERROR(VLOOKUP(AC402,'Training Matrix'!B$4:C$24,2,0),"")</f>
        <v>Bioscience Manager</v>
      </c>
      <c r="AE402" s="221">
        <v>45792</v>
      </c>
      <c r="AF402" s="188">
        <f t="shared" si="550"/>
        <v>46522</v>
      </c>
      <c r="AG402" s="189" t="str">
        <f t="shared" ca="1" si="551"/>
        <v>Current</v>
      </c>
      <c r="AH402" s="50" t="str">
        <f t="shared" ref="AH402" si="566">IF(OR(AC402="",AE402=""),"",CONCATENATE(AC402,"_",K400,"_",L400))</f>
        <v>Person 3_ALP.BSP.SOP.023_Biological Spill Response</v>
      </c>
    </row>
    <row r="403" spans="1:34" ht="60" x14ac:dyDescent="0.25">
      <c r="A403" s="5" t="str">
        <f>IF(LEFT(F403,15)='SOP template'!$B$1,1,"")</f>
        <v/>
      </c>
      <c r="B403" s="190" t="str">
        <f t="shared" si="561"/>
        <v>SOP.023.4</v>
      </c>
      <c r="C403" s="190" t="str">
        <f t="shared" si="564"/>
        <v>SOP.023.2.4</v>
      </c>
      <c r="D403" s="190" t="str">
        <f t="shared" si="565"/>
        <v>SOP.023.2</v>
      </c>
      <c r="E403" s="190">
        <f t="shared" si="542"/>
        <v>4</v>
      </c>
      <c r="F403" s="190" t="str">
        <f t="shared" si="562"/>
        <v>ALP.BSP.SOP.023.04</v>
      </c>
      <c r="G403" s="190" t="str">
        <f>IF(ISBLANK(N403),"",CONCATENATE(LEFT(F403,15),".",INDEX(Ref!A:A,MATCH(N403,Ref!$K$1:$K$333,0))))</f>
        <v>ALP.BSP.SOP.023.14</v>
      </c>
      <c r="H403" s="181"/>
      <c r="I403" s="183"/>
      <c r="J403" s="181"/>
      <c r="K403" s="181"/>
      <c r="L403" s="182"/>
      <c r="M403" s="182"/>
      <c r="N403" s="183" t="s">
        <v>127</v>
      </c>
      <c r="O403" s="182" t="s">
        <v>413</v>
      </c>
      <c r="P403" s="182" t="s">
        <v>414</v>
      </c>
      <c r="Q403" s="184" t="s">
        <v>89</v>
      </c>
      <c r="R403" s="184" t="s">
        <v>91</v>
      </c>
      <c r="S403" s="185" t="str">
        <f>IFERROR(CLEAN(INDEX('Risk Matrix'!$H$7:$L$11,MATCH($Q403,'Risk Matrix'!$F$7:$F$11,0),MATCH($R403,'Risk Matrix'!$H$6:$L$6,0))),"")</f>
        <v>Low 1</v>
      </c>
      <c r="T403" s="85" t="str">
        <f>IF(LEFT($B403,7)=RIGHT('SOP template'!$B$1,7),_xlfn.NUMBERVALUE(RIGHT($S403,2)),"")</f>
        <v/>
      </c>
      <c r="U403" s="182" t="s">
        <v>817</v>
      </c>
      <c r="V403" s="182"/>
      <c r="W403" s="182" t="s">
        <v>923</v>
      </c>
      <c r="X403" s="182" t="s">
        <v>924</v>
      </c>
      <c r="Y403" s="182" t="s">
        <v>1022</v>
      </c>
      <c r="Z403" s="183"/>
      <c r="AA403" s="186">
        <f>IFERROR(VLOOKUP(IFERROR(LEFT(S403,4),""),Ref!$AF$2:$AG$5,2,0),"")</f>
        <v>36</v>
      </c>
      <c r="AB403" s="146"/>
      <c r="AC403" s="219" t="s">
        <v>168</v>
      </c>
      <c r="AD403" s="187" t="str">
        <f>IFERROR(VLOOKUP(AC403,'Training Matrix'!B$4:C$24,2,0),"")</f>
        <v>Collection Manager</v>
      </c>
      <c r="AE403" s="221">
        <v>45792</v>
      </c>
      <c r="AF403" s="188">
        <f t="shared" si="550"/>
        <v>46522</v>
      </c>
      <c r="AG403" s="189" t="str">
        <f t="shared" ca="1" si="551"/>
        <v>Current</v>
      </c>
      <c r="AH403" s="50" t="str">
        <f t="shared" ref="AH403" si="567">IF(OR(AC403="",AE403=""),"",CONCATENATE(AC403,"_",K400,"_",L400))</f>
        <v>Person 4_ALP.BSP.SOP.023_Biological Spill Response</v>
      </c>
    </row>
    <row r="404" spans="1:34" ht="30" x14ac:dyDescent="0.25">
      <c r="A404" s="5" t="str">
        <f>IF(LEFT(F404,15)='SOP template'!$B$1,1,"")</f>
        <v/>
      </c>
      <c r="B404" s="190" t="str">
        <f t="shared" si="561"/>
        <v>SOP.023.5</v>
      </c>
      <c r="C404" s="190" t="str">
        <f t="shared" si="564"/>
        <v>SOP.023.3</v>
      </c>
      <c r="D404" s="190" t="str">
        <f t="shared" si="565"/>
        <v>SOP.023.2.3</v>
      </c>
      <c r="E404" s="190">
        <f t="shared" si="542"/>
        <v>5</v>
      </c>
      <c r="F404" s="190" t="str">
        <f t="shared" si="562"/>
        <v>ALP.BSP.SOP.023.05</v>
      </c>
      <c r="G404" s="190" t="str">
        <f>IF(ISBLANK(N404),"",CONCATENATE(LEFT(F404,15),".",INDEX(Ref!A:A,MATCH(N404,Ref!$K$1:$K$333,0))))</f>
        <v>ALP.BSP.SOP.023.20</v>
      </c>
      <c r="H404" s="181"/>
      <c r="I404" s="183"/>
      <c r="J404" s="181"/>
      <c r="K404" s="181"/>
      <c r="L404" s="182"/>
      <c r="M404" s="182"/>
      <c r="N404" s="183" t="s">
        <v>133</v>
      </c>
      <c r="O404" s="182" t="s">
        <v>498</v>
      </c>
      <c r="P404" s="182" t="s">
        <v>499</v>
      </c>
      <c r="Q404" s="184" t="s">
        <v>89</v>
      </c>
      <c r="R404" s="184" t="s">
        <v>90</v>
      </c>
      <c r="S404" s="185" t="str">
        <f>IFERROR(CLEAN(INDEX('Risk Matrix'!$H$7:$L$11,MATCH($Q404,'Risk Matrix'!$F$7:$F$11,0),MATCH($R404,'Risk Matrix'!$H$6:$L$6,0))),"")</f>
        <v>Medium 2</v>
      </c>
      <c r="T404" s="85" t="str">
        <f>IF(LEFT($B404,7)=RIGHT('SOP template'!$B$1,7),_xlfn.NUMBERVALUE(RIGHT($S404,2)),"")</f>
        <v/>
      </c>
      <c r="U404" s="182" t="s">
        <v>495</v>
      </c>
      <c r="V404" s="182"/>
      <c r="W404" s="182" t="s">
        <v>926</v>
      </c>
      <c r="X404" s="182" t="s">
        <v>927</v>
      </c>
      <c r="Y404" s="182" t="s">
        <v>928</v>
      </c>
      <c r="Z404" s="183"/>
      <c r="AA404" s="186">
        <f>IFERROR(VLOOKUP(IFERROR(LEFT(S404,4),""),Ref!$AF$2:$AG$5,2,0),"")</f>
        <v>24</v>
      </c>
      <c r="AB404" s="146"/>
      <c r="AC404" s="219" t="s">
        <v>169</v>
      </c>
      <c r="AD404" s="187" t="str">
        <f>IFERROR(VLOOKUP(AC404,'Training Matrix'!B$4:C$24,2,0),"")</f>
        <v>Technician</v>
      </c>
      <c r="AE404" s="221">
        <v>45792</v>
      </c>
      <c r="AF404" s="188">
        <f t="shared" si="550"/>
        <v>46522</v>
      </c>
      <c r="AG404" s="189" t="str">
        <f t="shared" ca="1" si="551"/>
        <v>Current</v>
      </c>
      <c r="AH404" s="50" t="str">
        <f t="shared" ref="AH404" si="568">IF(OR(AC404="",AE404=""),"",CONCATENATE(AC404,"_",K400,"_",L400))</f>
        <v>Person 5_ALP.BSP.SOP.023_Biological Spill Response</v>
      </c>
    </row>
    <row r="405" spans="1:34" ht="45" x14ac:dyDescent="0.25">
      <c r="A405" s="5" t="str">
        <f>IF(LEFT(F405,15)='SOP template'!$B$1,1,"")</f>
        <v/>
      </c>
      <c r="B405" s="190" t="str">
        <f t="shared" si="561"/>
        <v>SOP.023.6</v>
      </c>
      <c r="C405" s="190" t="str">
        <f t="shared" si="564"/>
        <v>SOP.023.3.4</v>
      </c>
      <c r="D405" s="190" t="str">
        <f t="shared" si="565"/>
        <v>SOP.023.2.5</v>
      </c>
      <c r="E405" s="190">
        <f t="shared" si="542"/>
        <v>6</v>
      </c>
      <c r="F405" s="190" t="str">
        <f t="shared" si="562"/>
        <v>ALP.BSP.SOP.023.06</v>
      </c>
      <c r="G405" s="190" t="str">
        <f>IF(ISBLANK(N405),"",CONCATENATE(LEFT(F405,15),".",INDEX(Ref!A:A,MATCH(N405,Ref!$K$1:$K$333,0))))</f>
        <v/>
      </c>
      <c r="H405" s="181"/>
      <c r="I405" s="183"/>
      <c r="J405" s="181"/>
      <c r="K405" s="181"/>
      <c r="L405" s="182"/>
      <c r="M405" s="182"/>
      <c r="N405" s="183"/>
      <c r="O405" s="182" t="s">
        <v>508</v>
      </c>
      <c r="P405" s="182" t="s">
        <v>980</v>
      </c>
      <c r="Q405" s="184" t="s">
        <v>92</v>
      </c>
      <c r="R405" s="184" t="s">
        <v>90</v>
      </c>
      <c r="S405" s="185" t="str">
        <f>IFERROR(CLEAN(INDEX('Risk Matrix'!$H$7:$L$11,MATCH($Q405,'Risk Matrix'!$F$7:$F$11,0),MATCH($R405,'Risk Matrix'!$H$6:$L$6,0))),"")</f>
        <v>Medium 2</v>
      </c>
      <c r="T405" s="85" t="str">
        <f>IF(LEFT($B405,7)=RIGHT('SOP template'!$B$1,7),_xlfn.NUMBERVALUE(RIGHT($S405,2)),"")</f>
        <v/>
      </c>
      <c r="U405" s="182" t="s">
        <v>517</v>
      </c>
      <c r="V405" s="182"/>
      <c r="W405" s="182" t="s">
        <v>1027</v>
      </c>
      <c r="X405" s="182" t="s">
        <v>930</v>
      </c>
      <c r="Y405" s="182" t="s">
        <v>931</v>
      </c>
      <c r="Z405" s="183"/>
      <c r="AA405" s="186">
        <f>IFERROR(VLOOKUP(IFERROR(LEFT(S405,4),""),Ref!$AF$2:$AG$5,2,0),"")</f>
        <v>24</v>
      </c>
      <c r="AB405" s="146"/>
      <c r="AC405" s="220" t="s">
        <v>170</v>
      </c>
      <c r="AD405" s="187" t="str">
        <f>IFERROR(VLOOKUP(AC405,'Training Matrix'!B$4:C$24,2,0),"")</f>
        <v>Scientist</v>
      </c>
      <c r="AE405" s="221">
        <v>45792</v>
      </c>
      <c r="AF405" s="188">
        <f t="shared" si="550"/>
        <v>46522</v>
      </c>
      <c r="AG405" s="189" t="str">
        <f t="shared" ca="1" si="551"/>
        <v>Current</v>
      </c>
      <c r="AH405" s="50" t="str">
        <f t="shared" ref="AH405" si="569">IF(OR(AC405="",AE405=""),"",CONCATENATE(AC405,"_",K400,"_",L400))</f>
        <v>Person 6_ALP.BSP.SOP.023_Biological Spill Response</v>
      </c>
    </row>
    <row r="406" spans="1:34" ht="45" x14ac:dyDescent="0.25">
      <c r="A406" s="5" t="str">
        <f>IF(LEFT(F406,15)='SOP template'!$B$1,1,"")</f>
        <v/>
      </c>
      <c r="B406" s="190" t="str">
        <f t="shared" si="561"/>
        <v>SOP.023.7</v>
      </c>
      <c r="C406" s="190" t="str">
        <f t="shared" si="564"/>
        <v>SOP.023.4</v>
      </c>
      <c r="D406" s="190" t="str">
        <f t="shared" si="565"/>
        <v>SOP.023.3</v>
      </c>
      <c r="E406" s="190">
        <f t="shared" si="542"/>
        <v>7</v>
      </c>
      <c r="F406" s="190" t="str">
        <f t="shared" si="562"/>
        <v>ALP.BSP.SOP.023.07</v>
      </c>
      <c r="G406" s="190" t="str">
        <f>IF(ISBLANK(N406),"",CONCATENATE(LEFT(F406,15),".",INDEX(Ref!A:A,MATCH(N406,Ref!$K$1:$K$333,0))))</f>
        <v/>
      </c>
      <c r="H406" s="181"/>
      <c r="I406" s="183"/>
      <c r="J406" s="181"/>
      <c r="K406" s="181"/>
      <c r="L406" s="182"/>
      <c r="M406" s="182"/>
      <c r="N406" s="183"/>
      <c r="O406" s="182"/>
      <c r="P406" s="182"/>
      <c r="Q406" s="184"/>
      <c r="R406" s="184"/>
      <c r="S406" s="185" t="str">
        <f>IFERROR(CLEAN(INDEX('Risk Matrix'!$H$7:$L$11,MATCH($Q406,'Risk Matrix'!$F$7:$F$11,0),MATCH($R406,'Risk Matrix'!$H$6:$L$6,0))),"")</f>
        <v/>
      </c>
      <c r="T406" s="85" t="str">
        <f>IF(LEFT($B406,7)=RIGHT('SOP template'!$B$1,7),_xlfn.NUMBERVALUE(RIGHT($S406,2)),"")</f>
        <v/>
      </c>
      <c r="U406" s="182"/>
      <c r="V406" s="182"/>
      <c r="W406" s="182" t="s">
        <v>1028</v>
      </c>
      <c r="X406" s="182" t="s">
        <v>894</v>
      </c>
      <c r="Y406" s="182" t="s">
        <v>933</v>
      </c>
      <c r="Z406" s="183"/>
      <c r="AA406" s="186" t="str">
        <f>IFERROR(VLOOKUP(IFERROR(LEFT(S406,4),""),Ref!$AF$2:$AG$5,2,0),"")</f>
        <v/>
      </c>
      <c r="AB406" s="146"/>
      <c r="AC406" s="220"/>
      <c r="AD406" s="187" t="str">
        <f>IFERROR(VLOOKUP(AC406,'Training Matrix'!B$4:C$24,2,0),"")</f>
        <v/>
      </c>
      <c r="AE406" s="221"/>
      <c r="AF406" s="188" t="str">
        <f>IF(AE406="","",EDATE(AE406,AB$4))</f>
        <v/>
      </c>
      <c r="AG406" s="189" t="str">
        <f ca="1">IF(AE406="","",IF(TODAY()&gt;AF406,"Overdue","Current"))</f>
        <v/>
      </c>
      <c r="AH406" s="50" t="str">
        <f>IF(OR(AC406="",AE406=""),"",CONCATENATE(AC406,"_",K400,"_",L400))</f>
        <v/>
      </c>
    </row>
    <row r="407" spans="1:34" ht="30" x14ac:dyDescent="0.25">
      <c r="A407" s="5" t="str">
        <f>IF(LEFT(F407,15)='SOP template'!$B$1,1,"")</f>
        <v/>
      </c>
      <c r="B407" s="190" t="str">
        <f t="shared" si="561"/>
        <v>SOP.023.8</v>
      </c>
      <c r="C407" s="190" t="str">
        <f t="shared" si="564"/>
        <v>SOP.023.4.4</v>
      </c>
      <c r="D407" s="190" t="str">
        <f t="shared" si="565"/>
        <v>SOP.023.3.3</v>
      </c>
      <c r="E407" s="190">
        <f t="shared" si="542"/>
        <v>8</v>
      </c>
      <c r="F407" s="190" t="str">
        <f t="shared" si="562"/>
        <v>ALP.BSP.SOP.023.08</v>
      </c>
      <c r="G407" s="190" t="str">
        <f>IF(ISBLANK(N407),"",CONCATENATE(LEFT(F407,15),".",INDEX(Ref!A:A,MATCH(N407,Ref!$K$1:$K$333,0))))</f>
        <v/>
      </c>
      <c r="H407" s="181"/>
      <c r="I407" s="183"/>
      <c r="J407" s="181"/>
      <c r="K407" s="181"/>
      <c r="L407" s="182"/>
      <c r="M407" s="182"/>
      <c r="N407" s="183"/>
      <c r="O407" s="182"/>
      <c r="P407" s="182"/>
      <c r="Q407" s="184"/>
      <c r="R407" s="184"/>
      <c r="S407" s="185" t="str">
        <f>IFERROR(CLEAN(INDEX('Risk Matrix'!$H$7:$L$11,MATCH($Q407,'Risk Matrix'!$F$7:$F$11,0),MATCH($R407,'Risk Matrix'!$H$6:$L$6,0))),"")</f>
        <v/>
      </c>
      <c r="T407" s="85" t="str">
        <f>IF(LEFT($B407,7)=RIGHT('SOP template'!$B$1,7),_xlfn.NUMBERVALUE(RIGHT($S407,2)),"")</f>
        <v/>
      </c>
      <c r="U407" s="182"/>
      <c r="V407" s="182"/>
      <c r="W407" s="182"/>
      <c r="X407" s="182" t="s">
        <v>1020</v>
      </c>
      <c r="Y407" s="182" t="s">
        <v>440</v>
      </c>
      <c r="Z407" s="183"/>
      <c r="AA407" s="186" t="str">
        <f>IFERROR(VLOOKUP(IFERROR(LEFT(S407,4),""),Ref!$AF$2:$AG$5,2,0),"")</f>
        <v/>
      </c>
      <c r="AB407" s="146"/>
      <c r="AC407" s="218"/>
      <c r="AD407" s="187" t="str">
        <f>IFERROR(VLOOKUP(AC407,'Training Matrix'!B$4:C$24,2,0),"")</f>
        <v/>
      </c>
      <c r="AE407" s="221"/>
      <c r="AF407" s="188" t="str">
        <f>IF(AE407="","",EDATE(AE407,AB$4))</f>
        <v/>
      </c>
      <c r="AG407" s="189" t="str">
        <f ca="1">IF(AE407="","",IF(TODAY()&gt;AF407,"Overdue","Current"))</f>
        <v/>
      </c>
      <c r="AH407" s="50" t="str">
        <f>IF(OR(AC407="",AE407=""),"",CONCATENATE(AC407,"_",K400,"_",L400))</f>
        <v/>
      </c>
    </row>
    <row r="408" spans="1:34" ht="30" x14ac:dyDescent="0.25">
      <c r="A408" s="5" t="str">
        <f>IF(LEFT(F408,15)='SOP template'!$B$1,1,"")</f>
        <v/>
      </c>
      <c r="B408" s="190" t="str">
        <f t="shared" si="561"/>
        <v>SOP.023.9</v>
      </c>
      <c r="C408" s="190" t="str">
        <f t="shared" si="564"/>
        <v>SOP.023.5</v>
      </c>
      <c r="D408" s="190" t="str">
        <f t="shared" si="565"/>
        <v>SOP.023.3.5</v>
      </c>
      <c r="E408" s="190">
        <f t="shared" si="542"/>
        <v>9</v>
      </c>
      <c r="F408" s="190" t="str">
        <f t="shared" si="562"/>
        <v>ALP.BSP.SOP.023.09</v>
      </c>
      <c r="G408" s="190" t="str">
        <f>IF(ISBLANK(N408),"",CONCATENATE(LEFT(F408,15),".",INDEX(Ref!A:A,MATCH(N408,Ref!$K$1:$K$333,0))))</f>
        <v/>
      </c>
      <c r="H408" s="181"/>
      <c r="I408" s="183"/>
      <c r="J408" s="181"/>
      <c r="K408" s="181"/>
      <c r="L408" s="182"/>
      <c r="M408" s="182"/>
      <c r="N408" s="183"/>
      <c r="O408" s="182"/>
      <c r="P408" s="182"/>
      <c r="Q408" s="184"/>
      <c r="R408" s="184"/>
      <c r="S408" s="185" t="str">
        <f>IFERROR(CLEAN(INDEX('Risk Matrix'!$H$7:$L$11,MATCH($Q408,'Risk Matrix'!$F$7:$F$11,0),MATCH($R408,'Risk Matrix'!$H$6:$L$6,0))),"")</f>
        <v/>
      </c>
      <c r="T408" s="85" t="str">
        <f>IF(LEFT($B408,7)=RIGHT('SOP template'!$B$1,7),_xlfn.NUMBERVALUE(RIGHT($S408,2)),"")</f>
        <v/>
      </c>
      <c r="U408" s="182"/>
      <c r="V408" s="182"/>
      <c r="W408" s="182"/>
      <c r="X408" s="182" t="s">
        <v>1026</v>
      </c>
      <c r="Y408" s="182"/>
      <c r="Z408" s="183"/>
      <c r="AA408" s="186" t="str">
        <f>IFERROR(VLOOKUP(IFERROR(LEFT(S408,4),""),Ref!$AF$2:$AG$5,2,0),"")</f>
        <v/>
      </c>
      <c r="AB408" s="146"/>
      <c r="AC408" s="218"/>
      <c r="AD408" s="187" t="str">
        <f>IFERROR(VLOOKUP(AC408,'Training Matrix'!B$4:C$24,2,0),"")</f>
        <v/>
      </c>
      <c r="AE408" s="221"/>
      <c r="AF408" s="188" t="str">
        <f t="shared" si="550"/>
        <v/>
      </c>
      <c r="AG408" s="189" t="str">
        <f t="shared" ca="1" si="551"/>
        <v/>
      </c>
      <c r="AH408" s="50" t="str">
        <f t="shared" ref="AH408" si="570">IF(OR(AC408="",AE408=""),"",CONCATENATE(AC408,"_",K400,"_",L400))</f>
        <v/>
      </c>
    </row>
    <row r="409" spans="1:34" x14ac:dyDescent="0.25">
      <c r="A409" s="5" t="str">
        <f>IF(LEFT(F409,15)='SOP template'!$B$1,1,"")</f>
        <v/>
      </c>
      <c r="B409" s="190" t="str">
        <f t="shared" si="561"/>
        <v>SOP.023.10</v>
      </c>
      <c r="C409" s="190" t="str">
        <f t="shared" si="564"/>
        <v>SOP.023.5.4</v>
      </c>
      <c r="D409" s="190" t="str">
        <f t="shared" si="565"/>
        <v>SOP.023.4</v>
      </c>
      <c r="E409" s="190">
        <f t="shared" si="542"/>
        <v>10</v>
      </c>
      <c r="F409" s="190" t="str">
        <f t="shared" si="562"/>
        <v>ALP.BSP.SOP.023.10</v>
      </c>
      <c r="G409" s="190" t="str">
        <f>IF(ISBLANK(N409),"",CONCATENATE(LEFT(F409,15),".",INDEX(Ref!A:A,MATCH(N409,Ref!$K$1:$K$333,0))))</f>
        <v/>
      </c>
      <c r="H409" s="181"/>
      <c r="I409" s="183"/>
      <c r="J409" s="181"/>
      <c r="K409" s="181"/>
      <c r="L409" s="182"/>
      <c r="M409" s="182"/>
      <c r="N409" s="183"/>
      <c r="O409" s="182"/>
      <c r="P409" s="182"/>
      <c r="Q409" s="184"/>
      <c r="R409" s="184"/>
      <c r="S409" s="185" t="str">
        <f>IFERROR(CLEAN(INDEX('Risk Matrix'!$H$7:$L$11,MATCH($Q409,'Risk Matrix'!$F$7:$F$11,0),MATCH($R409,'Risk Matrix'!$H$6:$L$6,0))),"")</f>
        <v/>
      </c>
      <c r="T409" s="85" t="str">
        <f>IF(LEFT($B409,7)=RIGHT('SOP template'!$B$1,7),_xlfn.NUMBERVALUE(RIGHT($S409,2)),"")</f>
        <v/>
      </c>
      <c r="U409" s="182"/>
      <c r="V409" s="182"/>
      <c r="W409" s="182"/>
      <c r="X409" s="182"/>
      <c r="Y409" s="182"/>
      <c r="Z409" s="183"/>
      <c r="AA409" s="186" t="str">
        <f>IFERROR(VLOOKUP(IFERROR(LEFT(S409,4),""),Ref!$AF$2:$AG$5,2,0),"")</f>
        <v/>
      </c>
      <c r="AB409" s="146"/>
      <c r="AC409" s="218"/>
      <c r="AD409" s="187" t="str">
        <f>IFERROR(VLOOKUP(AC409,'Training Matrix'!B$4:C$24,2,0),"")</f>
        <v/>
      </c>
      <c r="AE409" s="221"/>
      <c r="AF409" s="188" t="str">
        <f t="shared" si="550"/>
        <v/>
      </c>
      <c r="AG409" s="189" t="str">
        <f t="shared" ca="1" si="551"/>
        <v/>
      </c>
      <c r="AH409" s="50" t="str">
        <f t="shared" ref="AH409" si="571">IF(OR(AC409="",AE409=""),"",CONCATENATE(AC409,"_",K400,"_",L400))</f>
        <v/>
      </c>
    </row>
    <row r="410" spans="1:34" x14ac:dyDescent="0.25">
      <c r="A410" s="5" t="str">
        <f>IF(LEFT(F410,15)='SOP template'!$B$1,1,"")</f>
        <v/>
      </c>
      <c r="B410" s="190" t="str">
        <f t="shared" ref="B410:B417" si="572">CONCATENATE(LEFT(B409,8),E410)</f>
        <v>SOP.023.11</v>
      </c>
      <c r="C410" s="190" t="str">
        <f t="shared" si="564"/>
        <v>SOP.023.6</v>
      </c>
      <c r="D410" s="190" t="str">
        <f t="shared" si="565"/>
        <v>SOP.023.4.3</v>
      </c>
      <c r="E410" s="190">
        <f t="shared" si="542"/>
        <v>11</v>
      </c>
      <c r="F410" s="190" t="str">
        <f t="shared" ref="F410:F417" si="573">IF(K410=0,LEFT(F409,16)&amp;TEXT(E410,"00"),K410&amp;"."&amp;TEXT(E410,"00"))</f>
        <v>ALP.BSP.SOP.023.11</v>
      </c>
      <c r="G410" s="190" t="str">
        <f>IF(ISBLANK(N410),"",CONCATENATE(LEFT(F410,15),".",INDEX(Ref!A:A,MATCH(N410,Ref!$K$1:$K$333,0))))</f>
        <v/>
      </c>
      <c r="H410" s="181"/>
      <c r="I410" s="183"/>
      <c r="J410" s="181"/>
      <c r="K410" s="181"/>
      <c r="L410" s="182"/>
      <c r="M410" s="182"/>
      <c r="N410" s="183"/>
      <c r="O410" s="182"/>
      <c r="P410" s="182"/>
      <c r="Q410" s="184"/>
      <c r="R410" s="184"/>
      <c r="S410" s="185" t="str">
        <f>IFERROR(CLEAN(INDEX('Risk Matrix'!$H$7:$L$11,MATCH($Q410,'Risk Matrix'!$F$7:$F$11,0),MATCH($R410,'Risk Matrix'!$H$6:$L$6,0))),"")</f>
        <v/>
      </c>
      <c r="T410" s="85" t="str">
        <f>IF(LEFT($B410,7)=RIGHT('SOP template'!$B$1,7),_xlfn.NUMBERVALUE(RIGHT($S410,2)),"")</f>
        <v/>
      </c>
      <c r="U410" s="182"/>
      <c r="V410" s="182"/>
      <c r="W410" s="182"/>
      <c r="X410" s="182"/>
      <c r="Y410" s="182"/>
      <c r="Z410" s="183"/>
      <c r="AA410" s="186" t="str">
        <f>IFERROR(VLOOKUP(IFERROR(LEFT(S410,4),""),Ref!$AF$2:$AG$5,2,0),"")</f>
        <v/>
      </c>
      <c r="AB410" s="146"/>
      <c r="AC410" s="218"/>
      <c r="AD410" s="187" t="str">
        <f>IFERROR(VLOOKUP(AC410,'Training Matrix'!B$4:C$24,2,0),"")</f>
        <v/>
      </c>
      <c r="AE410" s="221"/>
      <c r="AF410" s="188" t="str">
        <f t="shared" si="550"/>
        <v/>
      </c>
      <c r="AG410" s="189" t="str">
        <f t="shared" ca="1" si="551"/>
        <v/>
      </c>
      <c r="AH410" s="50" t="str">
        <f t="shared" ref="AH410" si="574">IF(OR(AC410="",AE410=""),"",CONCATENATE(AC410,"_",K400,"_",L400))</f>
        <v/>
      </c>
    </row>
    <row r="411" spans="1:34" x14ac:dyDescent="0.25">
      <c r="A411" s="5" t="str">
        <f>IF(LEFT(F411,15)='SOP template'!$B$1,1,"")</f>
        <v/>
      </c>
      <c r="B411" s="190" t="str">
        <f t="shared" si="572"/>
        <v>SOP.023.12</v>
      </c>
      <c r="C411" s="190" t="str">
        <f t="shared" si="564"/>
        <v>SOP.023.6.4</v>
      </c>
      <c r="D411" s="190" t="str">
        <f t="shared" si="565"/>
        <v>SOP.023.4.5</v>
      </c>
      <c r="E411" s="190">
        <f t="shared" si="542"/>
        <v>12</v>
      </c>
      <c r="F411" s="190" t="str">
        <f t="shared" si="573"/>
        <v>ALP.BSP.SOP.023.12</v>
      </c>
      <c r="G411" s="190" t="str">
        <f>IF(ISBLANK(N411),"",CONCATENATE(LEFT(F411,15),".",INDEX(Ref!A:A,MATCH(N411,Ref!$K$1:$K$333,0))))</f>
        <v/>
      </c>
      <c r="H411" s="181"/>
      <c r="I411" s="183"/>
      <c r="J411" s="181"/>
      <c r="K411" s="181"/>
      <c r="L411" s="182"/>
      <c r="M411" s="182"/>
      <c r="N411" s="183"/>
      <c r="O411" s="182"/>
      <c r="P411" s="182"/>
      <c r="Q411" s="184"/>
      <c r="R411" s="184"/>
      <c r="S411" s="185" t="str">
        <f>IFERROR(CLEAN(INDEX('Risk Matrix'!$H$7:$L$11,MATCH($Q411,'Risk Matrix'!$F$7:$F$11,0),MATCH($R411,'Risk Matrix'!$H$6:$L$6,0))),"")</f>
        <v/>
      </c>
      <c r="T411" s="85" t="str">
        <f>IF(LEFT($B411,7)=RIGHT('SOP template'!$B$1,7),_xlfn.NUMBERVALUE(RIGHT($S411,2)),"")</f>
        <v/>
      </c>
      <c r="U411" s="182"/>
      <c r="V411" s="182"/>
      <c r="W411" s="182"/>
      <c r="X411" s="182"/>
      <c r="Y411" s="182"/>
      <c r="Z411" s="183"/>
      <c r="AA411" s="186" t="str">
        <f>IFERROR(VLOOKUP(IFERROR(LEFT(S411,4),""),Ref!$AF$2:$AG$5,2,0),"")</f>
        <v/>
      </c>
      <c r="AB411" s="146"/>
      <c r="AC411" s="218"/>
      <c r="AD411" s="187" t="str">
        <f>IFERROR(VLOOKUP(AC411,'Training Matrix'!B$4:C$24,2,0),"")</f>
        <v/>
      </c>
      <c r="AE411" s="221"/>
      <c r="AF411" s="188" t="str">
        <f t="shared" si="550"/>
        <v/>
      </c>
      <c r="AG411" s="189" t="str">
        <f t="shared" ca="1" si="551"/>
        <v/>
      </c>
      <c r="AH411" s="50" t="str">
        <f t="shared" ref="AH411" si="575">IF(OR(AC411="",AE411=""),"",CONCATENATE(AC411,"_",K400,"_",L400))</f>
        <v/>
      </c>
    </row>
    <row r="412" spans="1:34" x14ac:dyDescent="0.25">
      <c r="A412" s="5" t="str">
        <f>IF(LEFT(F412,15)='SOP template'!$B$1,1,"")</f>
        <v/>
      </c>
      <c r="B412" s="190" t="str">
        <f t="shared" si="572"/>
        <v>SOP.023.13</v>
      </c>
      <c r="C412" s="190" t="str">
        <f t="shared" si="564"/>
        <v>SOP.023.</v>
      </c>
      <c r="D412" s="190" t="str">
        <f t="shared" si="565"/>
        <v>SOP.023.</v>
      </c>
      <c r="E412" s="190">
        <f t="shared" si="542"/>
        <v>13</v>
      </c>
      <c r="F412" s="190" t="str">
        <f t="shared" si="573"/>
        <v>ALP.BSP.SOP.023.13</v>
      </c>
      <c r="G412" s="190" t="str">
        <f>IF(ISBLANK(N412),"",CONCATENATE(LEFT(F412,15),".",INDEX(Ref!A:A,MATCH(N412,Ref!$K$1:$K$333,0))))</f>
        <v/>
      </c>
      <c r="H412" s="181"/>
      <c r="I412" s="183"/>
      <c r="J412" s="181"/>
      <c r="K412" s="181"/>
      <c r="L412" s="182"/>
      <c r="M412" s="182"/>
      <c r="N412" s="183"/>
      <c r="O412" s="182"/>
      <c r="P412" s="182"/>
      <c r="Q412" s="184"/>
      <c r="R412" s="184"/>
      <c r="S412" s="185" t="str">
        <f>IFERROR(CLEAN(INDEX('Risk Matrix'!$H$7:$L$11,MATCH($Q412,'Risk Matrix'!$F$7:$F$11,0),MATCH($R412,'Risk Matrix'!$H$6:$L$6,0))),"")</f>
        <v/>
      </c>
      <c r="T412" s="85" t="str">
        <f>IF(LEFT($B412,7)=RIGHT('SOP template'!$B$1,7),_xlfn.NUMBERVALUE(RIGHT($S412,2)),"")</f>
        <v/>
      </c>
      <c r="U412" s="182"/>
      <c r="V412" s="182"/>
      <c r="W412" s="182"/>
      <c r="X412" s="182"/>
      <c r="Y412" s="182"/>
      <c r="Z412" s="183"/>
      <c r="AA412" s="186" t="str">
        <f>IFERROR(VLOOKUP(IFERROR(LEFT(S412,4),""),Ref!$AF$2:$AG$5,2,0),"")</f>
        <v/>
      </c>
      <c r="AB412" s="146"/>
      <c r="AC412" s="218"/>
      <c r="AD412" s="187" t="str">
        <f>IFERROR(VLOOKUP(AC412,'Training Matrix'!B$4:C$24,2,0),"")</f>
        <v/>
      </c>
      <c r="AE412" s="218"/>
      <c r="AF412" s="188" t="str">
        <f t="shared" si="550"/>
        <v/>
      </c>
      <c r="AG412" s="189" t="str">
        <f t="shared" ca="1" si="551"/>
        <v/>
      </c>
      <c r="AH412" s="50" t="str">
        <f t="shared" ref="AH412" si="576">IF(OR(AC412="",AE412=""),"",CONCATENATE(AC412,"_",K400,"_",L400))</f>
        <v/>
      </c>
    </row>
    <row r="413" spans="1:34" x14ac:dyDescent="0.25">
      <c r="A413" s="5" t="str">
        <f>IF(LEFT(F413,15)='SOP template'!$B$1,1,"")</f>
        <v/>
      </c>
      <c r="B413" s="190" t="str">
        <f t="shared" si="572"/>
        <v>SOP.023.14</v>
      </c>
      <c r="C413" s="190" t="str">
        <f t="shared" si="564"/>
        <v>SOP.023.</v>
      </c>
      <c r="D413" s="190" t="str">
        <f t="shared" si="565"/>
        <v>SOP.023.</v>
      </c>
      <c r="E413" s="190">
        <f t="shared" si="542"/>
        <v>14</v>
      </c>
      <c r="F413" s="190" t="str">
        <f t="shared" si="573"/>
        <v>ALP.BSP.SOP.023.14</v>
      </c>
      <c r="G413" s="190" t="str">
        <f>IF(ISBLANK(N413),"",CONCATENATE(LEFT(F413,15),".",INDEX(Ref!A:A,MATCH(N413,Ref!$K$1:$K$333,0))))</f>
        <v/>
      </c>
      <c r="H413" s="181"/>
      <c r="I413" s="183"/>
      <c r="J413" s="181"/>
      <c r="K413" s="181"/>
      <c r="L413" s="182"/>
      <c r="M413" s="182"/>
      <c r="N413" s="183"/>
      <c r="O413" s="182"/>
      <c r="P413" s="182"/>
      <c r="Q413" s="184"/>
      <c r="R413" s="184"/>
      <c r="S413" s="185" t="str">
        <f>IFERROR(CLEAN(INDEX('Risk Matrix'!$H$7:$L$11,MATCH($Q413,'Risk Matrix'!$F$7:$F$11,0),MATCH($R413,'Risk Matrix'!$H$6:$L$6,0))),"")</f>
        <v/>
      </c>
      <c r="T413" s="85" t="str">
        <f>IF(LEFT($B413,7)=RIGHT('SOP template'!$B$1,7),_xlfn.NUMBERVALUE(RIGHT($S413,2)),"")</f>
        <v/>
      </c>
      <c r="U413" s="182"/>
      <c r="V413" s="182"/>
      <c r="W413" s="182"/>
      <c r="X413" s="182"/>
      <c r="Y413" s="182"/>
      <c r="Z413" s="183"/>
      <c r="AA413" s="186" t="str">
        <f>IFERROR(VLOOKUP(IFERROR(LEFT(S413,4),""),Ref!$AF$2:$AG$5,2,0),"")</f>
        <v/>
      </c>
      <c r="AB413" s="146"/>
      <c r="AC413" s="218"/>
      <c r="AD413" s="187" t="str">
        <f>IFERROR(VLOOKUP(AC413,'Training Matrix'!B$4:C$24,2,0),"")</f>
        <v/>
      </c>
      <c r="AE413" s="218"/>
      <c r="AF413" s="188" t="str">
        <f t="shared" si="550"/>
        <v/>
      </c>
      <c r="AG413" s="189" t="str">
        <f t="shared" ca="1" si="551"/>
        <v/>
      </c>
      <c r="AH413" s="50" t="str">
        <f t="shared" ref="AH413" si="577">IF(OR(AC413="",AE413=""),"",CONCATENATE(AC413,"_",K400,"_",L400))</f>
        <v/>
      </c>
    </row>
    <row r="414" spans="1:34" x14ac:dyDescent="0.25">
      <c r="A414" s="5" t="str">
        <f>IF(LEFT(F414,15)='SOP template'!$B$1,1,"")</f>
        <v/>
      </c>
      <c r="B414" s="190" t="str">
        <f t="shared" si="572"/>
        <v>SOP.023.15</v>
      </c>
      <c r="C414" s="190" t="str">
        <f t="shared" si="564"/>
        <v>SOP.023.</v>
      </c>
      <c r="D414" s="190" t="str">
        <f t="shared" si="565"/>
        <v>SOP.023.</v>
      </c>
      <c r="E414" s="190">
        <f t="shared" si="542"/>
        <v>15</v>
      </c>
      <c r="F414" s="190" t="str">
        <f t="shared" si="573"/>
        <v>ALP.BSP.SOP.023.15</v>
      </c>
      <c r="G414" s="190" t="str">
        <f>IF(ISBLANK(N414),"",CONCATENATE(LEFT(F414,15),".",INDEX(Ref!A:A,MATCH(N414,Ref!$K$1:$K$333,0))))</f>
        <v/>
      </c>
      <c r="H414" s="181"/>
      <c r="I414" s="183"/>
      <c r="J414" s="181"/>
      <c r="K414" s="181"/>
      <c r="L414" s="182"/>
      <c r="M414" s="182"/>
      <c r="N414" s="183"/>
      <c r="O414" s="182"/>
      <c r="P414" s="182"/>
      <c r="Q414" s="184"/>
      <c r="R414" s="184"/>
      <c r="S414" s="185" t="str">
        <f>IFERROR(CLEAN(INDEX('Risk Matrix'!$H$7:$L$11,MATCH($Q414,'Risk Matrix'!$F$7:$F$11,0),MATCH($R414,'Risk Matrix'!$H$6:$L$6,0))),"")</f>
        <v/>
      </c>
      <c r="T414" s="85" t="str">
        <f>IF(LEFT($B414,7)=RIGHT('SOP template'!$B$1,7),_xlfn.NUMBERVALUE(RIGHT($S414,2)),"")</f>
        <v/>
      </c>
      <c r="U414" s="182"/>
      <c r="V414" s="182"/>
      <c r="W414" s="182"/>
      <c r="X414" s="182"/>
      <c r="Y414" s="182"/>
      <c r="Z414" s="183"/>
      <c r="AA414" s="186" t="str">
        <f>IFERROR(VLOOKUP(IFERROR(LEFT(S414,4),""),Ref!$AF$2:$AG$5,2,0),"")</f>
        <v/>
      </c>
      <c r="AB414" s="146"/>
      <c r="AC414" s="218"/>
      <c r="AD414" s="187" t="str">
        <f>IFERROR(VLOOKUP(AC414,'Training Matrix'!B$4:C$24,2,0),"")</f>
        <v/>
      </c>
      <c r="AE414" s="218"/>
      <c r="AF414" s="188" t="str">
        <f t="shared" si="550"/>
        <v/>
      </c>
      <c r="AG414" s="189" t="str">
        <f t="shared" ca="1" si="551"/>
        <v/>
      </c>
      <c r="AH414" s="50" t="str">
        <f t="shared" ref="AH414" si="578">IF(OR(AC414="",AE414=""),"",CONCATENATE(AC414,"_",K400,"_",L400))</f>
        <v/>
      </c>
    </row>
    <row r="415" spans="1:34" x14ac:dyDescent="0.25">
      <c r="A415" s="5" t="str">
        <f>IF(LEFT(F415,15)='SOP template'!$B$1,1,"")</f>
        <v/>
      </c>
      <c r="B415" s="190" t="str">
        <f t="shared" si="572"/>
        <v>SOP.023.16</v>
      </c>
      <c r="C415" s="190" t="str">
        <f t="shared" si="564"/>
        <v>SOP.023.</v>
      </c>
      <c r="D415" s="190" t="str">
        <f t="shared" si="565"/>
        <v>SOP.023.</v>
      </c>
      <c r="E415" s="190">
        <f t="shared" si="542"/>
        <v>16</v>
      </c>
      <c r="F415" s="190" t="str">
        <f t="shared" si="573"/>
        <v>ALP.BSP.SOP.023.16</v>
      </c>
      <c r="G415" s="190" t="str">
        <f>IF(ISBLANK(N415),"",CONCATENATE(LEFT(F415,15),".",INDEX(Ref!A:A,MATCH(N415,Ref!$K$1:$K$333,0))))</f>
        <v/>
      </c>
      <c r="H415" s="181"/>
      <c r="I415" s="183"/>
      <c r="J415" s="181"/>
      <c r="K415" s="181"/>
      <c r="L415" s="182"/>
      <c r="M415" s="182"/>
      <c r="N415" s="183"/>
      <c r="O415" s="182"/>
      <c r="P415" s="182"/>
      <c r="Q415" s="184"/>
      <c r="R415" s="184"/>
      <c r="S415" s="185" t="str">
        <f>IFERROR(CLEAN(INDEX('Risk Matrix'!$H$7:$L$11,MATCH($Q415,'Risk Matrix'!$F$7:$F$11,0),MATCH($R415,'Risk Matrix'!$H$6:$L$6,0))),"")</f>
        <v/>
      </c>
      <c r="T415" s="85" t="str">
        <f>IF(LEFT($B415,7)=RIGHT('SOP template'!$B$1,7),_xlfn.NUMBERVALUE(RIGHT($S415,2)),"")</f>
        <v/>
      </c>
      <c r="U415" s="182"/>
      <c r="V415" s="182"/>
      <c r="W415" s="182"/>
      <c r="X415" s="182"/>
      <c r="Y415" s="182"/>
      <c r="Z415" s="183"/>
      <c r="AA415" s="186" t="str">
        <f>IFERROR(VLOOKUP(IFERROR(LEFT(S415,4),""),Ref!$AF$2:$AG$5,2,0),"")</f>
        <v/>
      </c>
      <c r="AB415" s="146"/>
      <c r="AC415" s="218"/>
      <c r="AD415" s="187" t="str">
        <f>IFERROR(VLOOKUP(AC415,'Training Matrix'!B$4:C$24,2,0),"")</f>
        <v/>
      </c>
      <c r="AE415" s="218"/>
      <c r="AF415" s="188" t="str">
        <f t="shared" si="550"/>
        <v/>
      </c>
      <c r="AG415" s="189" t="str">
        <f t="shared" ca="1" si="551"/>
        <v/>
      </c>
      <c r="AH415" s="50" t="str">
        <f t="shared" ref="AH415" si="579">IF(OR(AC415="",AE415=""),"",CONCATENATE(AC415,"_",K400,"_",L400))</f>
        <v/>
      </c>
    </row>
    <row r="416" spans="1:34" x14ac:dyDescent="0.25">
      <c r="A416" s="5" t="str">
        <f>IF(LEFT(F416,15)='SOP template'!$B$1,1,"")</f>
        <v/>
      </c>
      <c r="B416" s="190" t="str">
        <f t="shared" si="572"/>
        <v>SOP.023.17</v>
      </c>
      <c r="C416" s="190" t="str">
        <f t="shared" si="564"/>
        <v>SOP.023.</v>
      </c>
      <c r="D416" s="190" t="str">
        <f t="shared" si="565"/>
        <v>SOP.023.</v>
      </c>
      <c r="E416" s="190">
        <f t="shared" si="542"/>
        <v>17</v>
      </c>
      <c r="F416" s="190" t="str">
        <f t="shared" si="573"/>
        <v>ALP.BSP.SOP.023.17</v>
      </c>
      <c r="G416" s="190" t="str">
        <f>IF(ISBLANK(N416),"",CONCATENATE(LEFT(F416,15),".",INDEX(Ref!A:A,MATCH(N416,Ref!$K$1:$K$333,0))))</f>
        <v/>
      </c>
      <c r="H416" s="181"/>
      <c r="I416" s="183"/>
      <c r="J416" s="181"/>
      <c r="K416" s="181"/>
      <c r="L416" s="182"/>
      <c r="M416" s="182"/>
      <c r="N416" s="183"/>
      <c r="O416" s="182"/>
      <c r="P416" s="182"/>
      <c r="Q416" s="184"/>
      <c r="R416" s="184"/>
      <c r="S416" s="185" t="str">
        <f>IFERROR(CLEAN(INDEX('Risk Matrix'!$H$7:$L$11,MATCH($Q416,'Risk Matrix'!$F$7:$F$11,0),MATCH($R416,'Risk Matrix'!$H$6:$L$6,0))),"")</f>
        <v/>
      </c>
      <c r="T416" s="85" t="str">
        <f>IF(LEFT($B416,7)=RIGHT('SOP template'!$B$1,7),_xlfn.NUMBERVALUE(RIGHT($S416,2)),"")</f>
        <v/>
      </c>
      <c r="U416" s="182"/>
      <c r="V416" s="182"/>
      <c r="W416" s="182"/>
      <c r="X416" s="182"/>
      <c r="Y416" s="182"/>
      <c r="Z416" s="183"/>
      <c r="AA416" s="186" t="str">
        <f>IFERROR(VLOOKUP(IFERROR(LEFT(S416,4),""),Ref!$AF$2:$AG$5,2,0),"")</f>
        <v/>
      </c>
      <c r="AB416" s="146"/>
      <c r="AC416" s="218"/>
      <c r="AD416" s="187" t="str">
        <f>IFERROR(VLOOKUP(AC416,'Training Matrix'!B$4:C$24,2,0),"")</f>
        <v/>
      </c>
      <c r="AE416" s="218"/>
      <c r="AF416" s="188" t="str">
        <f t="shared" si="550"/>
        <v/>
      </c>
      <c r="AG416" s="189" t="str">
        <f t="shared" ca="1" si="551"/>
        <v/>
      </c>
      <c r="AH416" s="50" t="str">
        <f t="shared" ref="AH416" si="580">IF(OR(AC416="",AE416=""),"",CONCATENATE(AC416,"_",K400,"_",L400))</f>
        <v/>
      </c>
    </row>
    <row r="417" spans="1:34" x14ac:dyDescent="0.25">
      <c r="A417" s="5" t="str">
        <f>IF(LEFT(F417,15)='SOP template'!$B$1,1,"")</f>
        <v/>
      </c>
      <c r="B417" s="190" t="str">
        <f t="shared" si="572"/>
        <v>SOP.023.18</v>
      </c>
      <c r="C417" s="190" t="str">
        <f t="shared" si="564"/>
        <v>SOP.023.</v>
      </c>
      <c r="D417" s="190" t="str">
        <f t="shared" si="565"/>
        <v>SOP.023.</v>
      </c>
      <c r="E417" s="190">
        <f t="shared" si="542"/>
        <v>18</v>
      </c>
      <c r="F417" s="190" t="str">
        <f t="shared" si="573"/>
        <v>ALP.BSP.SOP.023.18</v>
      </c>
      <c r="G417" s="190" t="str">
        <f>IF(ISBLANK(N417),"",CONCATENATE(LEFT(F417,15),".",INDEX(Ref!A:A,MATCH(N417,Ref!$K$1:$K$333,0))))</f>
        <v/>
      </c>
      <c r="H417" s="181"/>
      <c r="I417" s="183"/>
      <c r="J417" s="181"/>
      <c r="K417" s="181"/>
      <c r="L417" s="182"/>
      <c r="M417" s="182"/>
      <c r="N417" s="183"/>
      <c r="O417" s="182"/>
      <c r="P417" s="182"/>
      <c r="Q417" s="184"/>
      <c r="R417" s="184"/>
      <c r="S417" s="185" t="str">
        <f>IFERROR(CLEAN(INDEX('Risk Matrix'!$H$7:$L$11,MATCH($Q417,'Risk Matrix'!$F$7:$F$11,0),MATCH($R417,'Risk Matrix'!$H$6:$L$6,0))),"")</f>
        <v/>
      </c>
      <c r="T417" s="85" t="str">
        <f>IF(LEFT($B417,7)=RIGHT('SOP template'!$B$1,7),_xlfn.NUMBERVALUE(RIGHT($S417,2)),"")</f>
        <v/>
      </c>
      <c r="U417" s="182"/>
      <c r="V417" s="182"/>
      <c r="W417" s="182"/>
      <c r="X417" s="182"/>
      <c r="Y417" s="182"/>
      <c r="Z417" s="183"/>
      <c r="AA417" s="186" t="str">
        <f>IFERROR(VLOOKUP(IFERROR(LEFT(S417,4),""),Ref!$AF$2:$AG$5,2,0),"")</f>
        <v/>
      </c>
      <c r="AB417" s="146"/>
      <c r="AC417" s="218"/>
      <c r="AD417" s="187" t="str">
        <f>IFERROR(VLOOKUP(AC417,'Training Matrix'!B$4:C$24,2,0),"")</f>
        <v/>
      </c>
      <c r="AE417" s="218"/>
      <c r="AF417" s="188" t="str">
        <f t="shared" si="550"/>
        <v/>
      </c>
      <c r="AG417" s="189" t="str">
        <f t="shared" ca="1" si="551"/>
        <v/>
      </c>
      <c r="AH417" s="50" t="str">
        <f t="shared" ref="AH417" si="581">IF(OR(AC417="",AE417=""),"",CONCATENATE(AC417,"_",K400,"_",L400))</f>
        <v/>
      </c>
    </row>
    <row r="418" spans="1:34" x14ac:dyDescent="0.25">
      <c r="A418" s="5" t="str">
        <f>IF(LEFT(F418,15)='SOP template'!$B$1,1,"")</f>
        <v/>
      </c>
      <c r="B418" s="179" t="str">
        <f t="shared" ref="B418" si="582">IF(ISBLANK($K418),CONCATENATE($B$2,".",TEXT(J418,"000"),".",$E418),CONCATENATE(RIGHT($K418,7),".1"))</f>
        <v>SOP.024.1</v>
      </c>
      <c r="C418" s="179" t="str">
        <f>IF(ISBLANK($K418),CONCATENATE(LEFT(#REF!,8),IF($E418=1,1.1,IF($E418=2,1.4,IF($E418=3,2,IF($E418=4,2.4,IF($E418=5,3,IF($E418=6,3.4,IF($E418=7,4,IF($E418=8,4.4,IF($E418=9,5,IF($E418=10,5.4,IF($E418=11,6,IF($E418=12,6.4,""))))))))))))),CONCATENATE(RIGHT($K418,7),".1"))</f>
        <v>SOP.024.1</v>
      </c>
      <c r="D418" s="179" t="str">
        <f>IF(ISBLANK($K418),CONCATENATE(LEFT(#REF!,8),IF($E418=1,1,IF($E418=2,1.3,IF($E418=3,1.5,IF($E418=4,2,IF($E418=5,2.3,IF($E418=6,2.5,IF($E418=7,3,IF($E418=8,3.3,IF($E418=9,3.5,IF($E418=10,4,IF($E418=11,4.3,IF($E418=12,4.5,""))))))))))))),CONCATENATE(RIGHT($K418,7),".1"))</f>
        <v>SOP.024.1</v>
      </c>
      <c r="E418" s="179">
        <f t="shared" si="542"/>
        <v>1</v>
      </c>
      <c r="F418" s="179" t="str">
        <f t="shared" ref="F418" si="583">K418&amp;"."&amp;TEXT(E418,"00")</f>
        <v>..SOP.024.01</v>
      </c>
      <c r="G418" s="179" t="str">
        <f>IF(ISBLANK(N418),"",CONCATENATE(LEFT(F418,15),".",INDEX(Ref!A:A,MATCH(N418,Ref!$K$1:$K$333,0))))</f>
        <v/>
      </c>
      <c r="H418" s="217"/>
      <c r="I418" s="217"/>
      <c r="J418" s="180">
        <v>24</v>
      </c>
      <c r="K418" s="181" t="str">
        <f>IFERROR(CONCATENATE(INDEX(Ref!$Z$2:$Z$8,MATCH(H418,Ref!$AA$2:$AA$8,0)),".",I418,".SOP.",TEXT(J418,"000")),CONCATENATE(H418,".",I418,".SOP.",TEXT(J418,"000")))</f>
        <v>..SOP.024</v>
      </c>
      <c r="L418" s="191"/>
      <c r="M418" s="182"/>
      <c r="N418" s="183"/>
      <c r="O418" s="182"/>
      <c r="P418" s="182"/>
      <c r="Q418" s="184"/>
      <c r="R418" s="184"/>
      <c r="S418" s="185" t="str">
        <f>IFERROR(CLEAN(INDEX('Risk Matrix'!$H$7:$L$11,MATCH($Q418,'Risk Matrix'!$F$7:$F$11,0),MATCH($R418,'Risk Matrix'!$H$6:$L$6,0))),"")</f>
        <v/>
      </c>
      <c r="T418" s="85" t="str">
        <f>IF(LEFT($B418,7)=RIGHT('SOP template'!$B$1,7),_xlfn.NUMBERVALUE(RIGHT($S418,2)),"")</f>
        <v/>
      </c>
      <c r="U418" s="182"/>
      <c r="V418" s="182"/>
      <c r="W418" s="182"/>
      <c r="X418" s="182"/>
      <c r="Y418" s="182"/>
      <c r="Z418" s="182"/>
      <c r="AA418" s="186" t="str">
        <f>IFERROR(VLOOKUP(IFERROR(LEFT(S418,4),""),Ref!$AF$2:$AG$5,2,0),"")</f>
        <v/>
      </c>
      <c r="AB418" s="186">
        <f>MIN($AA418:$AA435)</f>
        <v>0</v>
      </c>
      <c r="AC418" s="218"/>
      <c r="AD418" s="187" t="str">
        <f>IFERROR(VLOOKUP(AC418,'Training Matrix'!B$4:C$24,2,0),"")</f>
        <v/>
      </c>
      <c r="AE418" s="221"/>
      <c r="AF418" s="188" t="str">
        <f t="shared" si="550"/>
        <v/>
      </c>
      <c r="AG418" s="189" t="str">
        <f t="shared" ca="1" si="551"/>
        <v/>
      </c>
      <c r="AH418" s="50" t="str">
        <f t="shared" ref="AH418" si="584">IF(OR(AC418="",AE418=""),"",CONCATENATE(AC418,"_",K418,"_",L418))</f>
        <v/>
      </c>
    </row>
    <row r="419" spans="1:34" x14ac:dyDescent="0.25">
      <c r="A419" s="5" t="str">
        <f>IF(LEFT(F419,15)='SOP template'!$B$1,1,"")</f>
        <v/>
      </c>
      <c r="B419" s="190" t="str">
        <f t="shared" ref="B419:B427" si="585">CONCATENATE(LEFT(B418,8),E419)</f>
        <v>SOP.024.2</v>
      </c>
      <c r="C419" s="190" t="str">
        <f>IF(ISBLANK($K419),CONCATENATE(LEFT($B418,8),IF($E419=1,1.1,IF($E419=2,1.4,IF($E419=3,2,IF($E419=4,2.4,IF($E419=5,3,IF($E419=6,3.4,IF($E419=7,4,IF($E419=8,4.4,IF($E419=9,5,IF($E419=10,5.4,IF($E419=11,6,IF($E419=12,6.4,""))))))))))))),CONCATENATE(RIGHT($K419,7),".1"))</f>
        <v>SOP.024.1.4</v>
      </c>
      <c r="D419" s="190" t="str">
        <f>IF(ISBLANK($K419),CONCATENATE(LEFT($B418,8),IF($E419=1,1,IF($E419=2,1.3,IF($E419=3,1.5,IF($E419=4,2,IF($E419=5,2.3,IF($E419=6,2.5,IF($E419=7,3,IF($E419=8,3.3,IF($E419=9,3.5,IF($E419=10,4,IF($E419=11,4.3,IF($E419=12,4.5,""))))))))))))),CONCATENATE(RIGHT($K419,7),".1"))</f>
        <v>SOP.024.1.3</v>
      </c>
      <c r="E419" s="190">
        <f t="shared" si="542"/>
        <v>2</v>
      </c>
      <c r="F419" s="190" t="str">
        <f t="shared" ref="F419:F427" si="586">IF(K419=0,LEFT(F418,16)&amp;TEXT(E419,"00"),K419&amp;"."&amp;TEXT(E419,"00"))</f>
        <v>..SOP.024.0102</v>
      </c>
      <c r="G419" s="190" t="str">
        <f>IF(ISBLANK(N419),"",CONCATENATE(LEFT(F419,15),".",INDEX(Ref!A:A,MATCH(N419,Ref!$K$1:$K$333,0))))</f>
        <v/>
      </c>
      <c r="H419" s="181"/>
      <c r="I419" s="183"/>
      <c r="J419" s="181"/>
      <c r="K419" s="181"/>
      <c r="L419" s="182"/>
      <c r="M419" s="182"/>
      <c r="N419" s="183"/>
      <c r="O419" s="182"/>
      <c r="P419" s="182"/>
      <c r="Q419" s="184"/>
      <c r="R419" s="184"/>
      <c r="S419" s="185" t="str">
        <f>IFERROR(CLEAN(INDEX('Risk Matrix'!$H$7:$L$11,MATCH($Q419,'Risk Matrix'!$F$7:$F$11,0),MATCH($R419,'Risk Matrix'!$H$6:$L$6,0))),"")</f>
        <v/>
      </c>
      <c r="T419" s="85" t="str">
        <f>IF(LEFT($B419,7)=RIGHT('SOP template'!$B$1,7),_xlfn.NUMBERVALUE(RIGHT($S419,2)),"")</f>
        <v/>
      </c>
      <c r="U419" s="182"/>
      <c r="V419" s="182"/>
      <c r="W419" s="182"/>
      <c r="Y419" s="182"/>
      <c r="Z419" s="182"/>
      <c r="AA419" s="186" t="str">
        <f>IFERROR(VLOOKUP(IFERROR(LEFT(S419,4),""),Ref!$AF$2:$AG$5,2,0),"")</f>
        <v/>
      </c>
      <c r="AB419" s="146"/>
      <c r="AC419" s="219"/>
      <c r="AD419" s="187" t="str">
        <f>IFERROR(VLOOKUP(AC419,'Training Matrix'!B$4:C$24,2,0),"")</f>
        <v/>
      </c>
      <c r="AE419" s="221"/>
      <c r="AF419" s="188" t="str">
        <f t="shared" si="550"/>
        <v/>
      </c>
      <c r="AG419" s="189" t="str">
        <f t="shared" ca="1" si="551"/>
        <v/>
      </c>
      <c r="AH419" s="50" t="str">
        <f t="shared" ref="AH419" si="587">IF(OR(AC419="",AE419=""),"",CONCATENATE(AC419,"_",K418,"_",L418))</f>
        <v/>
      </c>
    </row>
    <row r="420" spans="1:34" x14ac:dyDescent="0.25">
      <c r="A420" s="5" t="str">
        <f>IF(LEFT(F420,15)='SOP template'!$B$1,1,"")</f>
        <v/>
      </c>
      <c r="B420" s="190" t="str">
        <f t="shared" si="585"/>
        <v>SOP.024.3</v>
      </c>
      <c r="C420" s="190" t="str">
        <f t="shared" ref="C420:C435" si="588">IF(ISBLANK($K420),CONCATENATE(LEFT($B419,8),IF($E420=1,1.1,IF($E420=2,1.4,IF($E420=3,2,IF($E420=4,2.4,IF($E420=5,3,IF($E420=6,3.4,IF($E420=7,4,IF($E420=8,4.4,IF($E420=9,5,IF($E420=10,5.4,IF($E420=11,6,IF($E420=12,6.4,""))))))))))))),CONCATENATE(RIGHT($K420,7),".1"))</f>
        <v>SOP.024.2</v>
      </c>
      <c r="D420" s="190" t="str">
        <f t="shared" ref="D420:D435" si="589">IF(ISBLANK($K420),CONCATENATE(LEFT($B419,8),IF($E420=1,1,IF($E420=2,1.3,IF($E420=3,1.5,IF($E420=4,2,IF($E420=5,2.3,IF($E420=6,2.5,IF($E420=7,3,IF($E420=8,3.3,IF($E420=9,3.5,IF($E420=10,4,IF($E420=11,4.3,IF($E420=12,4.5,""))))))))))))),CONCATENATE(RIGHT($K420,7),".1"))</f>
        <v>SOP.024.1.5</v>
      </c>
      <c r="E420" s="190">
        <f t="shared" si="542"/>
        <v>3</v>
      </c>
      <c r="F420" s="190" t="str">
        <f t="shared" si="586"/>
        <v>..SOP.024.010203</v>
      </c>
      <c r="G420" s="190" t="str">
        <f>IF(ISBLANK(N420),"",CONCATENATE(LEFT(F420,15),".",INDEX(Ref!A:A,MATCH(N420,Ref!$K$1:$K$333,0))))</f>
        <v/>
      </c>
      <c r="H420" s="181"/>
      <c r="I420" s="183"/>
      <c r="J420" s="181"/>
      <c r="K420" s="181"/>
      <c r="L420" s="182"/>
      <c r="M420" s="182"/>
      <c r="N420" s="183"/>
      <c r="O420" s="182"/>
      <c r="P420" s="182"/>
      <c r="Q420" s="184"/>
      <c r="R420" s="184"/>
      <c r="S420" s="185" t="str">
        <f>IFERROR(CLEAN(INDEX('Risk Matrix'!$H$7:$L$11,MATCH($Q420,'Risk Matrix'!$F$7:$F$11,0),MATCH($R420,'Risk Matrix'!$H$6:$L$6,0))),"")</f>
        <v/>
      </c>
      <c r="T420" s="85" t="str">
        <f>IF(LEFT($B420,7)=RIGHT('SOP template'!$B$1,7),_xlfn.NUMBERVALUE(RIGHT($S420,2)),"")</f>
        <v/>
      </c>
      <c r="U420" s="182"/>
      <c r="V420" s="182"/>
      <c r="W420" s="182"/>
      <c r="X420" s="182"/>
      <c r="Y420" s="182"/>
      <c r="Z420" s="183"/>
      <c r="AA420" s="186" t="str">
        <f>IFERROR(VLOOKUP(IFERROR(LEFT(S420,4),""),Ref!$AF$2:$AG$5,2,0),"")</f>
        <v/>
      </c>
      <c r="AB420" s="146"/>
      <c r="AC420" s="219"/>
      <c r="AD420" s="187" t="str">
        <f>IFERROR(VLOOKUP(AC420,'Training Matrix'!B$4:C$24,2,0),"")</f>
        <v/>
      </c>
      <c r="AE420" s="221"/>
      <c r="AF420" s="188" t="str">
        <f t="shared" si="550"/>
        <v/>
      </c>
      <c r="AG420" s="189" t="str">
        <f t="shared" ca="1" si="551"/>
        <v/>
      </c>
      <c r="AH420" s="50" t="str">
        <f t="shared" ref="AH420" si="590">IF(OR(AC420="",AE420=""),"",CONCATENATE(AC420,"_",K418,"_",L418))</f>
        <v/>
      </c>
    </row>
    <row r="421" spans="1:34" x14ac:dyDescent="0.25">
      <c r="A421" s="5" t="str">
        <f>IF(LEFT(F421,15)='SOP template'!$B$1,1,"")</f>
        <v/>
      </c>
      <c r="B421" s="190" t="str">
        <f t="shared" si="585"/>
        <v>SOP.024.4</v>
      </c>
      <c r="C421" s="190" t="str">
        <f t="shared" si="588"/>
        <v>SOP.024.2.4</v>
      </c>
      <c r="D421" s="190" t="str">
        <f t="shared" si="589"/>
        <v>SOP.024.2</v>
      </c>
      <c r="E421" s="190">
        <f t="shared" si="542"/>
        <v>4</v>
      </c>
      <c r="F421" s="190" t="str">
        <f t="shared" si="586"/>
        <v>..SOP.024.01020304</v>
      </c>
      <c r="G421" s="190" t="str">
        <f>IF(ISBLANK(N421),"",CONCATENATE(LEFT(F421,15),".",INDEX(Ref!A:A,MATCH(N421,Ref!$K$1:$K$333,0))))</f>
        <v/>
      </c>
      <c r="H421" s="181"/>
      <c r="I421" s="183"/>
      <c r="J421" s="181"/>
      <c r="K421" s="181"/>
      <c r="L421" s="182"/>
      <c r="M421" s="182"/>
      <c r="N421" s="183"/>
      <c r="O421" s="182"/>
      <c r="P421" s="182"/>
      <c r="Q421" s="184"/>
      <c r="R421" s="184"/>
      <c r="S421" s="185" t="str">
        <f>IFERROR(CLEAN(INDEX('Risk Matrix'!$H$7:$L$11,MATCH($Q421,'Risk Matrix'!$F$7:$F$11,0),MATCH($R421,'Risk Matrix'!$H$6:$L$6,0))),"")</f>
        <v/>
      </c>
      <c r="T421" s="85" t="str">
        <f>IF(LEFT($B421,7)=RIGHT('SOP template'!$B$1,7),_xlfn.NUMBERVALUE(RIGHT($S421,2)),"")</f>
        <v/>
      </c>
      <c r="U421" s="182"/>
      <c r="V421" s="182"/>
      <c r="W421" s="182"/>
      <c r="X421" s="182"/>
      <c r="Y421" s="182"/>
      <c r="Z421" s="183"/>
      <c r="AA421" s="186" t="str">
        <f>IFERROR(VLOOKUP(IFERROR(LEFT(S421,4),""),Ref!$AF$2:$AG$5,2,0),"")</f>
        <v/>
      </c>
      <c r="AB421" s="146"/>
      <c r="AC421" s="219"/>
      <c r="AD421" s="187" t="str">
        <f>IFERROR(VLOOKUP(AC421,'Training Matrix'!B$4:C$24,2,0),"")</f>
        <v/>
      </c>
      <c r="AE421" s="221"/>
      <c r="AF421" s="188" t="str">
        <f t="shared" si="550"/>
        <v/>
      </c>
      <c r="AG421" s="189" t="str">
        <f t="shared" ca="1" si="551"/>
        <v/>
      </c>
      <c r="AH421" s="50" t="str">
        <f t="shared" ref="AH421" si="591">IF(OR(AC421="",AE421=""),"",CONCATENATE(AC421,"_",K418,"_",L418))</f>
        <v/>
      </c>
    </row>
    <row r="422" spans="1:34" x14ac:dyDescent="0.25">
      <c r="A422" s="5" t="str">
        <f>IF(LEFT(F422,15)='SOP template'!$B$1,1,"")</f>
        <v/>
      </c>
      <c r="B422" s="190" t="str">
        <f t="shared" si="585"/>
        <v>SOP.024.5</v>
      </c>
      <c r="C422" s="190" t="str">
        <f t="shared" si="588"/>
        <v>SOP.024.3</v>
      </c>
      <c r="D422" s="190" t="str">
        <f t="shared" si="589"/>
        <v>SOP.024.2.3</v>
      </c>
      <c r="E422" s="190">
        <f t="shared" si="542"/>
        <v>5</v>
      </c>
      <c r="F422" s="190" t="str">
        <f t="shared" si="586"/>
        <v>..SOP.024.01020305</v>
      </c>
      <c r="G422" s="190" t="str">
        <f>IF(ISBLANK(N422),"",CONCATENATE(LEFT(F422,15),".",INDEX(Ref!A:A,MATCH(N422,Ref!$K$1:$K$333,0))))</f>
        <v/>
      </c>
      <c r="H422" s="181"/>
      <c r="I422" s="183"/>
      <c r="J422" s="181"/>
      <c r="K422" s="181"/>
      <c r="L422" s="182"/>
      <c r="M422" s="182"/>
      <c r="N422" s="183"/>
      <c r="O422" s="182"/>
      <c r="P422" s="182"/>
      <c r="Q422" s="184"/>
      <c r="R422" s="184"/>
      <c r="S422" s="185" t="str">
        <f>IFERROR(CLEAN(INDEX('Risk Matrix'!$H$7:$L$11,MATCH($Q422,'Risk Matrix'!$F$7:$F$11,0),MATCH($R422,'Risk Matrix'!$H$6:$L$6,0))),"")</f>
        <v/>
      </c>
      <c r="T422" s="85" t="str">
        <f>IF(LEFT($B422,7)=RIGHT('SOP template'!$B$1,7),_xlfn.NUMBERVALUE(RIGHT($S422,2)),"")</f>
        <v/>
      </c>
      <c r="U422" s="182"/>
      <c r="V422" s="182"/>
      <c r="W422" s="182"/>
      <c r="X422" s="182"/>
      <c r="Y422" s="182"/>
      <c r="Z422" s="183"/>
      <c r="AA422" s="186" t="str">
        <f>IFERROR(VLOOKUP(IFERROR(LEFT(S422,4),""),Ref!$AF$2:$AG$5,2,0),"")</f>
        <v/>
      </c>
      <c r="AB422" s="146"/>
      <c r="AC422" s="219"/>
      <c r="AD422" s="187" t="str">
        <f>IFERROR(VLOOKUP(AC422,'Training Matrix'!B$4:C$24,2,0),"")</f>
        <v/>
      </c>
      <c r="AE422" s="221"/>
      <c r="AF422" s="188" t="str">
        <f t="shared" si="550"/>
        <v/>
      </c>
      <c r="AG422" s="189" t="str">
        <f t="shared" ca="1" si="551"/>
        <v/>
      </c>
      <c r="AH422" s="50" t="str">
        <f t="shared" ref="AH422" si="592">IF(OR(AC422="",AE422=""),"",CONCATENATE(AC422,"_",K418,"_",L418))</f>
        <v/>
      </c>
    </row>
    <row r="423" spans="1:34" x14ac:dyDescent="0.25">
      <c r="A423" s="5" t="str">
        <f>IF(LEFT(F423,15)='SOP template'!$B$1,1,"")</f>
        <v/>
      </c>
      <c r="B423" s="190" t="str">
        <f t="shared" si="585"/>
        <v>SOP.024.6</v>
      </c>
      <c r="C423" s="190" t="str">
        <f t="shared" si="588"/>
        <v>SOP.024.3.4</v>
      </c>
      <c r="D423" s="190" t="str">
        <f t="shared" si="589"/>
        <v>SOP.024.2.5</v>
      </c>
      <c r="E423" s="190">
        <f t="shared" si="542"/>
        <v>6</v>
      </c>
      <c r="F423" s="190" t="str">
        <f t="shared" si="586"/>
        <v>..SOP.024.01020306</v>
      </c>
      <c r="G423" s="190" t="str">
        <f>IF(ISBLANK(N423),"",CONCATENATE(LEFT(F423,15),".",INDEX(Ref!A:A,MATCH(N423,Ref!$K$1:$K$333,0))))</f>
        <v/>
      </c>
      <c r="H423" s="181"/>
      <c r="I423" s="183"/>
      <c r="J423" s="181"/>
      <c r="K423" s="181"/>
      <c r="L423" s="182"/>
      <c r="M423" s="182"/>
      <c r="N423" s="183"/>
      <c r="O423" s="182"/>
      <c r="P423" s="182"/>
      <c r="Q423" s="184"/>
      <c r="R423" s="184"/>
      <c r="S423" s="185" t="str">
        <f>IFERROR(CLEAN(INDEX('Risk Matrix'!$H$7:$L$11,MATCH($Q423,'Risk Matrix'!$F$7:$F$11,0),MATCH($R423,'Risk Matrix'!$H$6:$L$6,0))),"")</f>
        <v/>
      </c>
      <c r="T423" s="85" t="str">
        <f>IF(LEFT($B423,7)=RIGHT('SOP template'!$B$1,7),_xlfn.NUMBERVALUE(RIGHT($S423,2)),"")</f>
        <v/>
      </c>
      <c r="U423" s="182"/>
      <c r="V423" s="182"/>
      <c r="W423" s="182"/>
      <c r="Y423" s="182"/>
      <c r="Z423" s="183"/>
      <c r="AA423" s="186" t="str">
        <f>IFERROR(VLOOKUP(IFERROR(LEFT(S423,4),""),Ref!$AF$2:$AG$5,2,0),"")</f>
        <v/>
      </c>
      <c r="AB423" s="146"/>
      <c r="AC423" s="220"/>
      <c r="AD423" s="187" t="str">
        <f>IFERROR(VLOOKUP(AC423,'Training Matrix'!B$4:C$24,2,0),"")</f>
        <v/>
      </c>
      <c r="AE423" s="221"/>
      <c r="AF423" s="188" t="str">
        <f t="shared" si="550"/>
        <v/>
      </c>
      <c r="AG423" s="189" t="str">
        <f t="shared" ca="1" si="551"/>
        <v/>
      </c>
      <c r="AH423" s="50" t="str">
        <f t="shared" ref="AH423" si="593">IF(OR(AC423="",AE423=""),"",CONCATENATE(AC423,"_",K418,"_",L418))</f>
        <v/>
      </c>
    </row>
    <row r="424" spans="1:34" x14ac:dyDescent="0.25">
      <c r="A424" s="5" t="str">
        <f>IF(LEFT(F424,15)='SOP template'!$B$1,1,"")</f>
        <v/>
      </c>
      <c r="B424" s="190" t="str">
        <f t="shared" si="585"/>
        <v>SOP.024.7</v>
      </c>
      <c r="C424" s="190" t="str">
        <f t="shared" si="588"/>
        <v>SOP.024.4</v>
      </c>
      <c r="D424" s="190" t="str">
        <f t="shared" si="589"/>
        <v>SOP.024.3</v>
      </c>
      <c r="E424" s="190">
        <f t="shared" si="542"/>
        <v>7</v>
      </c>
      <c r="F424" s="190" t="str">
        <f t="shared" si="586"/>
        <v>..SOP.024.01020307</v>
      </c>
      <c r="G424" s="190" t="str">
        <f>IF(ISBLANK(N424),"",CONCATENATE(LEFT(F424,15),".",INDEX(Ref!A:A,MATCH(N424,Ref!$K$1:$K$333,0))))</f>
        <v/>
      </c>
      <c r="H424" s="181"/>
      <c r="I424" s="183"/>
      <c r="J424" s="181"/>
      <c r="K424" s="181"/>
      <c r="L424" s="182"/>
      <c r="M424" s="182"/>
      <c r="N424" s="183"/>
      <c r="O424" s="182"/>
      <c r="P424" s="182"/>
      <c r="Q424" s="184"/>
      <c r="R424" s="184"/>
      <c r="S424" s="185" t="str">
        <f>IFERROR(CLEAN(INDEX('Risk Matrix'!$H$7:$L$11,MATCH($Q424,'Risk Matrix'!$F$7:$F$11,0),MATCH($R424,'Risk Matrix'!$H$6:$L$6,0))),"")</f>
        <v/>
      </c>
      <c r="T424" s="85" t="str">
        <f>IF(LEFT($B424,7)=RIGHT('SOP template'!$B$1,7),_xlfn.NUMBERVALUE(RIGHT($S424,2)),"")</f>
        <v/>
      </c>
      <c r="U424" s="182"/>
      <c r="V424" s="182"/>
      <c r="W424" s="182"/>
      <c r="X424" s="182"/>
      <c r="Y424" s="182"/>
      <c r="Z424" s="183"/>
      <c r="AA424" s="186" t="str">
        <f>IFERROR(VLOOKUP(IFERROR(LEFT(S424,4),""),Ref!$AF$2:$AG$5,2,0),"")</f>
        <v/>
      </c>
      <c r="AB424" s="146"/>
      <c r="AC424" s="218"/>
      <c r="AD424" s="187" t="str">
        <f>IFERROR(VLOOKUP(AC424,'Training Matrix'!B$4:C$24,2,0),"")</f>
        <v/>
      </c>
      <c r="AE424" s="221"/>
      <c r="AF424" s="188" t="str">
        <f t="shared" si="550"/>
        <v/>
      </c>
      <c r="AG424" s="189" t="str">
        <f t="shared" ca="1" si="551"/>
        <v/>
      </c>
      <c r="AH424" s="50" t="str">
        <f t="shared" ref="AH424" si="594">IF(OR(AC424="",AE424=""),"",CONCATENATE(AC424,"_",K418,"_",L418))</f>
        <v/>
      </c>
    </row>
    <row r="425" spans="1:34" x14ac:dyDescent="0.25">
      <c r="A425" s="5" t="str">
        <f>IF(LEFT(F425,15)='SOP template'!$B$1,1,"")</f>
        <v/>
      </c>
      <c r="B425" s="190" t="str">
        <f t="shared" si="585"/>
        <v>SOP.024.8</v>
      </c>
      <c r="C425" s="190" t="str">
        <f t="shared" si="588"/>
        <v>SOP.024.4.4</v>
      </c>
      <c r="D425" s="190" t="str">
        <f t="shared" si="589"/>
        <v>SOP.024.3.3</v>
      </c>
      <c r="E425" s="190">
        <f t="shared" si="542"/>
        <v>8</v>
      </c>
      <c r="F425" s="190" t="str">
        <f t="shared" si="586"/>
        <v>..SOP.024.01020308</v>
      </c>
      <c r="G425" s="190" t="str">
        <f>IF(ISBLANK(N425),"",CONCATENATE(LEFT(F425,15),".",INDEX(Ref!A:A,MATCH(N425,Ref!$K$1:$K$333,0))))</f>
        <v/>
      </c>
      <c r="H425" s="181"/>
      <c r="I425" s="183"/>
      <c r="J425" s="181"/>
      <c r="K425" s="181"/>
      <c r="L425" s="182"/>
      <c r="M425" s="182"/>
      <c r="N425" s="183"/>
      <c r="O425" s="182"/>
      <c r="P425" s="182"/>
      <c r="Q425" s="184"/>
      <c r="R425" s="184"/>
      <c r="S425" s="185" t="str">
        <f>IFERROR(CLEAN(INDEX('Risk Matrix'!$H$7:$L$11,MATCH($Q425,'Risk Matrix'!$F$7:$F$11,0),MATCH($R425,'Risk Matrix'!$H$6:$L$6,0))),"")</f>
        <v/>
      </c>
      <c r="T425" s="85" t="str">
        <f>IF(LEFT($B425,7)=RIGHT('SOP template'!$B$1,7),_xlfn.NUMBERVALUE(RIGHT($S425,2)),"")</f>
        <v/>
      </c>
      <c r="U425" s="182"/>
      <c r="V425" s="182"/>
      <c r="W425" s="182"/>
      <c r="X425" s="182"/>
      <c r="Y425" s="182"/>
      <c r="Z425" s="183"/>
      <c r="AA425" s="186" t="str">
        <f>IFERROR(VLOOKUP(IFERROR(LEFT(S425,4),""),Ref!$AF$2:$AG$5,2,0),"")</f>
        <v/>
      </c>
      <c r="AB425" s="146"/>
      <c r="AC425" s="218"/>
      <c r="AD425" s="187"/>
      <c r="AE425" s="221"/>
      <c r="AF425" s="188" t="str">
        <f t="shared" si="550"/>
        <v/>
      </c>
      <c r="AG425" s="189" t="str">
        <f t="shared" ca="1" si="551"/>
        <v/>
      </c>
      <c r="AH425" s="50" t="str">
        <f t="shared" ref="AH425" si="595">IF(OR(AC425="",AE425=""),"",CONCATENATE(AC425,"_",K418,"_",L418))</f>
        <v/>
      </c>
    </row>
    <row r="426" spans="1:34" x14ac:dyDescent="0.25">
      <c r="A426" s="5" t="str">
        <f>IF(LEFT(F426,15)='SOP template'!$B$1,1,"")</f>
        <v/>
      </c>
      <c r="B426" s="190" t="str">
        <f t="shared" si="585"/>
        <v>SOP.024.9</v>
      </c>
      <c r="C426" s="190" t="str">
        <f t="shared" si="588"/>
        <v>SOP.024.5</v>
      </c>
      <c r="D426" s="190" t="str">
        <f t="shared" si="589"/>
        <v>SOP.024.3.5</v>
      </c>
      <c r="E426" s="190">
        <f t="shared" si="542"/>
        <v>9</v>
      </c>
      <c r="F426" s="190" t="str">
        <f t="shared" si="586"/>
        <v>..SOP.024.01020309</v>
      </c>
      <c r="G426" s="190" t="str">
        <f>IF(ISBLANK(N426),"",CONCATENATE(LEFT(F426,15),".",INDEX(Ref!A:A,MATCH(N426,Ref!$K$1:$K$333,0))))</f>
        <v/>
      </c>
      <c r="H426" s="181"/>
      <c r="I426" s="183"/>
      <c r="J426" s="181"/>
      <c r="K426" s="181"/>
      <c r="L426" s="182"/>
      <c r="M426" s="182"/>
      <c r="N426" s="183"/>
      <c r="O426" s="182"/>
      <c r="P426" s="182"/>
      <c r="Q426" s="184"/>
      <c r="R426" s="184"/>
      <c r="S426" s="185" t="str">
        <f>IFERROR(CLEAN(INDEX('Risk Matrix'!$H$7:$L$11,MATCH($Q426,'Risk Matrix'!$F$7:$F$11,0),MATCH($R426,'Risk Matrix'!$H$6:$L$6,0))),"")</f>
        <v/>
      </c>
      <c r="T426" s="85" t="str">
        <f>IF(LEFT($B426,7)=RIGHT('SOP template'!$B$1,7),_xlfn.NUMBERVALUE(RIGHT($S426,2)),"")</f>
        <v/>
      </c>
      <c r="U426" s="182"/>
      <c r="V426" s="182"/>
      <c r="W426" s="182"/>
      <c r="X426" s="182"/>
      <c r="Y426" s="182"/>
      <c r="Z426" s="183"/>
      <c r="AA426" s="186" t="str">
        <f>IFERROR(VLOOKUP(IFERROR(LEFT(S426,4),""),Ref!$AF$2:$AG$5,2,0),"")</f>
        <v/>
      </c>
      <c r="AB426" s="146"/>
      <c r="AC426" s="218"/>
      <c r="AD426" s="187" t="str">
        <f>IFERROR(VLOOKUP(AC426,'Training Matrix'!B$4:C$24,2,0),"")</f>
        <v/>
      </c>
      <c r="AE426" s="218"/>
      <c r="AF426" s="188" t="str">
        <f t="shared" si="550"/>
        <v/>
      </c>
      <c r="AG426" s="189" t="str">
        <f t="shared" ca="1" si="551"/>
        <v/>
      </c>
      <c r="AH426" s="50" t="str">
        <f t="shared" ref="AH426" si="596">IF(OR(AC426="",AE426=""),"",CONCATENATE(AC426,"_",K418,"_",L418))</f>
        <v/>
      </c>
    </row>
    <row r="427" spans="1:34" x14ac:dyDescent="0.25">
      <c r="A427" s="5" t="str">
        <f>IF(LEFT(F427,15)='SOP template'!$B$1,1,"")</f>
        <v/>
      </c>
      <c r="B427" s="190" t="str">
        <f t="shared" si="585"/>
        <v>SOP.024.10</v>
      </c>
      <c r="C427" s="190" t="str">
        <f t="shared" si="588"/>
        <v>SOP.024.5.4</v>
      </c>
      <c r="D427" s="190" t="str">
        <f t="shared" si="589"/>
        <v>SOP.024.4</v>
      </c>
      <c r="E427" s="190">
        <f t="shared" si="542"/>
        <v>10</v>
      </c>
      <c r="F427" s="190" t="str">
        <f t="shared" si="586"/>
        <v>..SOP.024.01020310</v>
      </c>
      <c r="G427" s="190" t="str">
        <f>IF(ISBLANK(N427),"",CONCATENATE(LEFT(F427,15),".",INDEX(Ref!A:A,MATCH(N427,Ref!$K$1:$K$333,0))))</f>
        <v/>
      </c>
      <c r="H427" s="181"/>
      <c r="I427" s="183"/>
      <c r="J427" s="181"/>
      <c r="K427" s="181"/>
      <c r="L427" s="182"/>
      <c r="M427" s="182"/>
      <c r="N427" s="183"/>
      <c r="O427" s="182"/>
      <c r="P427" s="182"/>
      <c r="Q427" s="184"/>
      <c r="R427" s="184"/>
      <c r="S427" s="185" t="str">
        <f>IFERROR(CLEAN(INDEX('Risk Matrix'!$H$7:$L$11,MATCH($Q427,'Risk Matrix'!$F$7:$F$11,0),MATCH($R427,'Risk Matrix'!$H$6:$L$6,0))),"")</f>
        <v/>
      </c>
      <c r="T427" s="85" t="str">
        <f>IF(LEFT($B427,7)=RIGHT('SOP template'!$B$1,7),_xlfn.NUMBERVALUE(RIGHT($S427,2)),"")</f>
        <v/>
      </c>
      <c r="U427" s="182"/>
      <c r="V427" s="182"/>
      <c r="W427" s="182"/>
      <c r="X427" s="182"/>
      <c r="Y427" s="182"/>
      <c r="Z427" s="183"/>
      <c r="AA427" s="186" t="str">
        <f>IFERROR(VLOOKUP(IFERROR(LEFT(S427,4),""),Ref!$AF$2:$AG$5,2,0),"")</f>
        <v/>
      </c>
      <c r="AB427" s="146"/>
      <c r="AC427" s="218"/>
      <c r="AD427" s="187" t="str">
        <f>IFERROR(VLOOKUP(AC427,'Training Matrix'!B$4:C$24,2,0),"")</f>
        <v/>
      </c>
      <c r="AE427" s="218"/>
      <c r="AF427" s="188" t="str">
        <f t="shared" si="550"/>
        <v/>
      </c>
      <c r="AG427" s="189" t="str">
        <f t="shared" ca="1" si="551"/>
        <v/>
      </c>
      <c r="AH427" s="50" t="str">
        <f t="shared" ref="AH427" si="597">IF(OR(AC427="",AE427=""),"",CONCATENATE(AC427,"_",K418,"_",L418))</f>
        <v/>
      </c>
    </row>
    <row r="428" spans="1:34" x14ac:dyDescent="0.25">
      <c r="A428" s="5" t="str">
        <f>IF(LEFT(F428,15)='SOP template'!$B$1,1,"")</f>
        <v/>
      </c>
      <c r="B428" s="190" t="str">
        <f t="shared" ref="B428:B435" si="598">CONCATENATE(LEFT(B427,8),E428)</f>
        <v>SOP.024.11</v>
      </c>
      <c r="C428" s="190" t="str">
        <f t="shared" si="588"/>
        <v>SOP.024.6</v>
      </c>
      <c r="D428" s="190" t="str">
        <f t="shared" si="589"/>
        <v>SOP.024.4.3</v>
      </c>
      <c r="E428" s="190">
        <f t="shared" si="542"/>
        <v>11</v>
      </c>
      <c r="F428" s="190" t="str">
        <f t="shared" ref="F428:F435" si="599">IF(K428=0,LEFT(F427,16)&amp;TEXT(E428,"00"),K428&amp;"."&amp;TEXT(E428,"00"))</f>
        <v>..SOP.024.01020311</v>
      </c>
      <c r="G428" s="190" t="str">
        <f>IF(ISBLANK(N428),"",CONCATENATE(LEFT(F428,15),".",INDEX(Ref!A:A,MATCH(N428,Ref!$K$1:$K$333,0))))</f>
        <v/>
      </c>
      <c r="H428" s="181"/>
      <c r="I428" s="183"/>
      <c r="J428" s="181"/>
      <c r="K428" s="181"/>
      <c r="L428" s="182"/>
      <c r="M428" s="182"/>
      <c r="N428" s="183"/>
      <c r="O428" s="182"/>
      <c r="P428" s="182"/>
      <c r="Q428" s="184"/>
      <c r="R428" s="184"/>
      <c r="S428" s="185" t="str">
        <f>IFERROR(CLEAN(INDEX('Risk Matrix'!$H$7:$L$11,MATCH($Q428,'Risk Matrix'!$F$7:$F$11,0),MATCH($R428,'Risk Matrix'!$H$6:$L$6,0))),"")</f>
        <v/>
      </c>
      <c r="T428" s="85" t="str">
        <f>IF(LEFT($B428,7)=RIGHT('SOP template'!$B$1,7),_xlfn.NUMBERVALUE(RIGHT($S428,2)),"")</f>
        <v/>
      </c>
      <c r="U428" s="182"/>
      <c r="V428" s="182"/>
      <c r="W428" s="182"/>
      <c r="X428" s="182"/>
      <c r="Y428" s="182"/>
      <c r="Z428" s="183"/>
      <c r="AA428" s="186" t="str">
        <f>IFERROR(VLOOKUP(IFERROR(LEFT(S428,4),""),Ref!$AF$2:$AG$5,2,0),"")</f>
        <v/>
      </c>
      <c r="AB428" s="146"/>
      <c r="AC428" s="218"/>
      <c r="AD428" s="187" t="str">
        <f>IFERROR(VLOOKUP(AC428,'Training Matrix'!B$4:C$24,2,0),"")</f>
        <v/>
      </c>
      <c r="AE428" s="218"/>
      <c r="AF428" s="188" t="str">
        <f t="shared" si="550"/>
        <v/>
      </c>
      <c r="AG428" s="189" t="str">
        <f t="shared" ca="1" si="551"/>
        <v/>
      </c>
      <c r="AH428" s="50" t="str">
        <f t="shared" ref="AH428" si="600">IF(OR(AC428="",AE428=""),"",CONCATENATE(AC428,"_",K418,"_",L418))</f>
        <v/>
      </c>
    </row>
    <row r="429" spans="1:34" x14ac:dyDescent="0.25">
      <c r="A429" s="5" t="str">
        <f>IF(LEFT(F429,15)='SOP template'!$B$1,1,"")</f>
        <v/>
      </c>
      <c r="B429" s="190" t="str">
        <f t="shared" si="598"/>
        <v>SOP.024.12</v>
      </c>
      <c r="C429" s="190" t="str">
        <f t="shared" si="588"/>
        <v>SOP.024.6.4</v>
      </c>
      <c r="D429" s="190" t="str">
        <f t="shared" si="589"/>
        <v>SOP.024.4.5</v>
      </c>
      <c r="E429" s="190">
        <f t="shared" si="542"/>
        <v>12</v>
      </c>
      <c r="F429" s="190" t="str">
        <f t="shared" si="599"/>
        <v>..SOP.024.01020312</v>
      </c>
      <c r="G429" s="190" t="str">
        <f>IF(ISBLANK(N429),"",CONCATENATE(LEFT(F429,15),".",INDEX(Ref!A:A,MATCH(N429,Ref!$K$1:$K$333,0))))</f>
        <v/>
      </c>
      <c r="H429" s="181"/>
      <c r="I429" s="183"/>
      <c r="J429" s="181"/>
      <c r="K429" s="181"/>
      <c r="L429" s="182"/>
      <c r="M429" s="182"/>
      <c r="N429" s="183"/>
      <c r="O429" s="182"/>
      <c r="P429" s="182"/>
      <c r="Q429" s="184"/>
      <c r="R429" s="184"/>
      <c r="S429" s="185" t="str">
        <f>IFERROR(CLEAN(INDEX('Risk Matrix'!$H$7:$L$11,MATCH($Q429,'Risk Matrix'!$F$7:$F$11,0),MATCH($R429,'Risk Matrix'!$H$6:$L$6,0))),"")</f>
        <v/>
      </c>
      <c r="T429" s="85" t="str">
        <f>IF(LEFT($B429,7)=RIGHT('SOP template'!$B$1,7),_xlfn.NUMBERVALUE(RIGHT($S429,2)),"")</f>
        <v/>
      </c>
      <c r="U429" s="182"/>
      <c r="V429" s="182"/>
      <c r="W429" s="182"/>
      <c r="X429" s="182"/>
      <c r="Y429" s="182"/>
      <c r="Z429" s="183"/>
      <c r="AA429" s="186" t="str">
        <f>IFERROR(VLOOKUP(IFERROR(LEFT(S429,4),""),Ref!$AF$2:$AG$5,2,0),"")</f>
        <v/>
      </c>
      <c r="AB429" s="146"/>
      <c r="AC429" s="218"/>
      <c r="AD429" s="187" t="str">
        <f>IFERROR(VLOOKUP(AC429,'Training Matrix'!B$4:C$24,2,0),"")</f>
        <v/>
      </c>
      <c r="AE429" s="218"/>
      <c r="AF429" s="188" t="str">
        <f t="shared" si="550"/>
        <v/>
      </c>
      <c r="AG429" s="189" t="str">
        <f t="shared" ca="1" si="551"/>
        <v/>
      </c>
      <c r="AH429" s="50" t="str">
        <f t="shared" ref="AH429" si="601">IF(OR(AC429="",AE429=""),"",CONCATENATE(AC429,"_",K418,"_",L418))</f>
        <v/>
      </c>
    </row>
    <row r="430" spans="1:34" x14ac:dyDescent="0.25">
      <c r="A430" s="5" t="str">
        <f>IF(LEFT(F430,15)='SOP template'!$B$1,1,"")</f>
        <v/>
      </c>
      <c r="B430" s="190" t="str">
        <f t="shared" si="598"/>
        <v>SOP.024.13</v>
      </c>
      <c r="C430" s="190" t="str">
        <f t="shared" si="588"/>
        <v>SOP.024.</v>
      </c>
      <c r="D430" s="190" t="str">
        <f t="shared" si="589"/>
        <v>SOP.024.</v>
      </c>
      <c r="E430" s="190">
        <f t="shared" si="542"/>
        <v>13</v>
      </c>
      <c r="F430" s="190" t="str">
        <f t="shared" si="599"/>
        <v>..SOP.024.01020313</v>
      </c>
      <c r="G430" s="190" t="str">
        <f>IF(ISBLANK(N430),"",CONCATENATE(LEFT(F430,15),".",INDEX(Ref!A:A,MATCH(N430,Ref!$K$1:$K$333,0))))</f>
        <v/>
      </c>
      <c r="H430" s="181"/>
      <c r="I430" s="183"/>
      <c r="J430" s="181"/>
      <c r="K430" s="181"/>
      <c r="L430" s="182"/>
      <c r="M430" s="182"/>
      <c r="N430" s="183"/>
      <c r="O430" s="182"/>
      <c r="P430" s="182"/>
      <c r="Q430" s="184"/>
      <c r="R430" s="184"/>
      <c r="S430" s="185" t="str">
        <f>IFERROR(CLEAN(INDEX('Risk Matrix'!$H$7:$L$11,MATCH($Q430,'Risk Matrix'!$F$7:$F$11,0),MATCH($R430,'Risk Matrix'!$H$6:$L$6,0))),"")</f>
        <v/>
      </c>
      <c r="T430" s="85" t="str">
        <f>IF(LEFT($B430,7)=RIGHT('SOP template'!$B$1,7),_xlfn.NUMBERVALUE(RIGHT($S430,2)),"")</f>
        <v/>
      </c>
      <c r="U430" s="182"/>
      <c r="V430" s="182"/>
      <c r="W430" s="182"/>
      <c r="X430" s="182"/>
      <c r="Y430" s="182"/>
      <c r="Z430" s="183"/>
      <c r="AA430" s="186" t="str">
        <f>IFERROR(VLOOKUP(IFERROR(LEFT(S430,4),""),Ref!$AF$2:$AG$5,2,0),"")</f>
        <v/>
      </c>
      <c r="AB430" s="146"/>
      <c r="AC430" s="218"/>
      <c r="AD430" s="187" t="str">
        <f>IFERROR(VLOOKUP(AC430,'Training Matrix'!B$4:C$24,2,0),"")</f>
        <v/>
      </c>
      <c r="AE430" s="218"/>
      <c r="AF430" s="188" t="str">
        <f t="shared" si="550"/>
        <v/>
      </c>
      <c r="AG430" s="189" t="str">
        <f t="shared" ca="1" si="551"/>
        <v/>
      </c>
      <c r="AH430" s="50" t="str">
        <f t="shared" ref="AH430" si="602">IF(OR(AC430="",AE430=""),"",CONCATENATE(AC430,"_",K418,"_",L418))</f>
        <v/>
      </c>
    </row>
    <row r="431" spans="1:34" x14ac:dyDescent="0.25">
      <c r="A431" s="5" t="str">
        <f>IF(LEFT(F431,15)='SOP template'!$B$1,1,"")</f>
        <v/>
      </c>
      <c r="B431" s="190" t="str">
        <f t="shared" si="598"/>
        <v>SOP.024.14</v>
      </c>
      <c r="C431" s="190" t="str">
        <f t="shared" si="588"/>
        <v>SOP.024.</v>
      </c>
      <c r="D431" s="190" t="str">
        <f t="shared" si="589"/>
        <v>SOP.024.</v>
      </c>
      <c r="E431" s="190">
        <f t="shared" si="542"/>
        <v>14</v>
      </c>
      <c r="F431" s="190" t="str">
        <f t="shared" si="599"/>
        <v>..SOP.024.01020314</v>
      </c>
      <c r="G431" s="190" t="str">
        <f>IF(ISBLANK(N431),"",CONCATENATE(LEFT(F431,15),".",INDEX(Ref!A:A,MATCH(N431,Ref!$K$1:$K$333,0))))</f>
        <v/>
      </c>
      <c r="H431" s="181"/>
      <c r="I431" s="183"/>
      <c r="J431" s="181"/>
      <c r="K431" s="181"/>
      <c r="L431" s="182"/>
      <c r="M431" s="182"/>
      <c r="N431" s="183"/>
      <c r="O431" s="182"/>
      <c r="P431" s="182"/>
      <c r="Q431" s="184"/>
      <c r="R431" s="184"/>
      <c r="S431" s="185" t="str">
        <f>IFERROR(CLEAN(INDEX('Risk Matrix'!$H$7:$L$11,MATCH($Q431,'Risk Matrix'!$F$7:$F$11,0),MATCH($R431,'Risk Matrix'!$H$6:$L$6,0))),"")</f>
        <v/>
      </c>
      <c r="T431" s="85" t="str">
        <f>IF(LEFT($B431,7)=RIGHT('SOP template'!$B$1,7),_xlfn.NUMBERVALUE(RIGHT($S431,2)),"")</f>
        <v/>
      </c>
      <c r="U431" s="182"/>
      <c r="V431" s="182"/>
      <c r="W431" s="182"/>
      <c r="X431" s="182"/>
      <c r="Y431" s="182"/>
      <c r="Z431" s="183"/>
      <c r="AA431" s="186" t="str">
        <f>IFERROR(VLOOKUP(IFERROR(LEFT(S431,4),""),Ref!$AF$2:$AG$5,2,0),"")</f>
        <v/>
      </c>
      <c r="AB431" s="146"/>
      <c r="AC431" s="218"/>
      <c r="AD431" s="187" t="str">
        <f>IFERROR(VLOOKUP(AC431,'Training Matrix'!B$4:C$24,2,0),"")</f>
        <v/>
      </c>
      <c r="AE431" s="218"/>
      <c r="AF431" s="188" t="str">
        <f t="shared" si="550"/>
        <v/>
      </c>
      <c r="AG431" s="189" t="str">
        <f t="shared" ca="1" si="551"/>
        <v/>
      </c>
      <c r="AH431" s="50" t="str">
        <f t="shared" ref="AH431" si="603">IF(OR(AC431="",AE431=""),"",CONCATENATE(AC431,"_",K418,"_",L418))</f>
        <v/>
      </c>
    </row>
    <row r="432" spans="1:34" x14ac:dyDescent="0.25">
      <c r="A432" s="5" t="str">
        <f>IF(LEFT(F432,15)='SOP template'!$B$1,1,"")</f>
        <v/>
      </c>
      <c r="B432" s="190" t="str">
        <f t="shared" si="598"/>
        <v>SOP.024.15</v>
      </c>
      <c r="C432" s="190" t="str">
        <f t="shared" si="588"/>
        <v>SOP.024.</v>
      </c>
      <c r="D432" s="190" t="str">
        <f t="shared" si="589"/>
        <v>SOP.024.</v>
      </c>
      <c r="E432" s="190">
        <f t="shared" si="542"/>
        <v>15</v>
      </c>
      <c r="F432" s="190" t="str">
        <f t="shared" si="599"/>
        <v>..SOP.024.01020315</v>
      </c>
      <c r="G432" s="190" t="str">
        <f>IF(ISBLANK(N432),"",CONCATENATE(LEFT(F432,15),".",INDEX(Ref!A:A,MATCH(N432,Ref!$K$1:$K$333,0))))</f>
        <v/>
      </c>
      <c r="H432" s="181"/>
      <c r="I432" s="183"/>
      <c r="J432" s="181"/>
      <c r="K432" s="181"/>
      <c r="L432" s="182"/>
      <c r="M432" s="182"/>
      <c r="N432" s="183"/>
      <c r="O432" s="182"/>
      <c r="P432" s="182"/>
      <c r="Q432" s="184"/>
      <c r="R432" s="184"/>
      <c r="S432" s="185" t="str">
        <f>IFERROR(CLEAN(INDEX('Risk Matrix'!$H$7:$L$11,MATCH($Q432,'Risk Matrix'!$F$7:$F$11,0),MATCH($R432,'Risk Matrix'!$H$6:$L$6,0))),"")</f>
        <v/>
      </c>
      <c r="T432" s="85" t="str">
        <f>IF(LEFT($B432,7)=RIGHT('SOP template'!$B$1,7),_xlfn.NUMBERVALUE(RIGHT($S432,2)),"")</f>
        <v/>
      </c>
      <c r="U432" s="182"/>
      <c r="V432" s="182"/>
      <c r="W432" s="182"/>
      <c r="X432" s="182"/>
      <c r="Y432" s="182"/>
      <c r="Z432" s="183"/>
      <c r="AA432" s="186" t="str">
        <f>IFERROR(VLOOKUP(IFERROR(LEFT(S432,4),""),Ref!$AF$2:$AG$5,2,0),"")</f>
        <v/>
      </c>
      <c r="AB432" s="146"/>
      <c r="AC432" s="218"/>
      <c r="AD432" s="187" t="str">
        <f>IFERROR(VLOOKUP(AC432,'Training Matrix'!B$4:C$24,2,0),"")</f>
        <v/>
      </c>
      <c r="AE432" s="218"/>
      <c r="AF432" s="188" t="str">
        <f t="shared" si="550"/>
        <v/>
      </c>
      <c r="AG432" s="189" t="str">
        <f t="shared" ca="1" si="551"/>
        <v/>
      </c>
      <c r="AH432" s="50" t="str">
        <f t="shared" ref="AH432" si="604">IF(OR(AC432="",AE432=""),"",CONCATENATE(AC432,"_",K418,"_",L418))</f>
        <v/>
      </c>
    </row>
    <row r="433" spans="1:34" x14ac:dyDescent="0.25">
      <c r="A433" s="5" t="str">
        <f>IF(LEFT(F433,15)='SOP template'!$B$1,1,"")</f>
        <v/>
      </c>
      <c r="B433" s="190" t="str">
        <f t="shared" si="598"/>
        <v>SOP.024.16</v>
      </c>
      <c r="C433" s="190" t="str">
        <f t="shared" si="588"/>
        <v>SOP.024.</v>
      </c>
      <c r="D433" s="190" t="str">
        <f t="shared" si="589"/>
        <v>SOP.024.</v>
      </c>
      <c r="E433" s="190">
        <f t="shared" si="542"/>
        <v>16</v>
      </c>
      <c r="F433" s="190" t="str">
        <f t="shared" si="599"/>
        <v>..SOP.024.01020316</v>
      </c>
      <c r="G433" s="190" t="str">
        <f>IF(ISBLANK(N433),"",CONCATENATE(LEFT(F433,15),".",INDEX(Ref!A:A,MATCH(N433,Ref!$K$1:$K$333,0))))</f>
        <v/>
      </c>
      <c r="H433" s="181"/>
      <c r="I433" s="183"/>
      <c r="J433" s="181"/>
      <c r="K433" s="181"/>
      <c r="L433" s="182"/>
      <c r="M433" s="182"/>
      <c r="N433" s="183"/>
      <c r="O433" s="182"/>
      <c r="P433" s="182"/>
      <c r="Q433" s="184"/>
      <c r="R433" s="184"/>
      <c r="S433" s="185" t="str">
        <f>IFERROR(CLEAN(INDEX('Risk Matrix'!$H$7:$L$11,MATCH($Q433,'Risk Matrix'!$F$7:$F$11,0),MATCH($R433,'Risk Matrix'!$H$6:$L$6,0))),"")</f>
        <v/>
      </c>
      <c r="T433" s="85" t="str">
        <f>IF(LEFT($B433,7)=RIGHT('SOP template'!$B$1,7),_xlfn.NUMBERVALUE(RIGHT($S433,2)),"")</f>
        <v/>
      </c>
      <c r="U433" s="182"/>
      <c r="V433" s="182"/>
      <c r="W433" s="182"/>
      <c r="X433" s="182"/>
      <c r="Y433" s="182"/>
      <c r="Z433" s="183"/>
      <c r="AA433" s="186" t="str">
        <f>IFERROR(VLOOKUP(IFERROR(LEFT(S433,4),""),Ref!$AF$2:$AG$5,2,0),"")</f>
        <v/>
      </c>
      <c r="AB433" s="146"/>
      <c r="AC433" s="218"/>
      <c r="AD433" s="187" t="str">
        <f>IFERROR(VLOOKUP(AC433,'Training Matrix'!B$4:C$24,2,0),"")</f>
        <v/>
      </c>
      <c r="AE433" s="218"/>
      <c r="AF433" s="188" t="str">
        <f t="shared" si="550"/>
        <v/>
      </c>
      <c r="AG433" s="189" t="str">
        <f t="shared" ca="1" si="551"/>
        <v/>
      </c>
      <c r="AH433" s="50" t="str">
        <f t="shared" ref="AH433" si="605">IF(OR(AC433="",AE433=""),"",CONCATENATE(AC433,"_",K418,"_",L418))</f>
        <v/>
      </c>
    </row>
    <row r="434" spans="1:34" x14ac:dyDescent="0.25">
      <c r="A434" s="5" t="str">
        <f>IF(LEFT(F434,15)='SOP template'!$B$1,1,"")</f>
        <v/>
      </c>
      <c r="B434" s="190" t="str">
        <f t="shared" si="598"/>
        <v>SOP.024.17</v>
      </c>
      <c r="C434" s="190" t="str">
        <f t="shared" si="588"/>
        <v>SOP.024.</v>
      </c>
      <c r="D434" s="190" t="str">
        <f t="shared" si="589"/>
        <v>SOP.024.</v>
      </c>
      <c r="E434" s="190">
        <f t="shared" si="542"/>
        <v>17</v>
      </c>
      <c r="F434" s="190" t="str">
        <f t="shared" si="599"/>
        <v>..SOP.024.01020317</v>
      </c>
      <c r="G434" s="190" t="str">
        <f>IF(ISBLANK(N434),"",CONCATENATE(LEFT(F434,15),".",INDEX(Ref!A:A,MATCH(N434,Ref!$K$1:$K$333,0))))</f>
        <v/>
      </c>
      <c r="H434" s="181"/>
      <c r="I434" s="183"/>
      <c r="J434" s="181"/>
      <c r="K434" s="181"/>
      <c r="L434" s="182"/>
      <c r="M434" s="182"/>
      <c r="N434" s="183"/>
      <c r="O434" s="182"/>
      <c r="P434" s="182"/>
      <c r="Q434" s="184"/>
      <c r="R434" s="184"/>
      <c r="S434" s="185" t="str">
        <f>IFERROR(CLEAN(INDEX('Risk Matrix'!$H$7:$L$11,MATCH($Q434,'Risk Matrix'!$F$7:$F$11,0),MATCH($R434,'Risk Matrix'!$H$6:$L$6,0))),"")</f>
        <v/>
      </c>
      <c r="T434" s="85" t="str">
        <f>IF(LEFT($B434,7)=RIGHT('SOP template'!$B$1,7),_xlfn.NUMBERVALUE(RIGHT($S434,2)),"")</f>
        <v/>
      </c>
      <c r="U434" s="182"/>
      <c r="V434" s="182"/>
      <c r="W434" s="182"/>
      <c r="X434" s="182"/>
      <c r="Y434" s="182"/>
      <c r="Z434" s="183"/>
      <c r="AA434" s="186" t="str">
        <f>IFERROR(VLOOKUP(IFERROR(LEFT(S434,4),""),Ref!$AF$2:$AG$5,2,0),"")</f>
        <v/>
      </c>
      <c r="AB434" s="146"/>
      <c r="AC434" s="218"/>
      <c r="AD434" s="187" t="str">
        <f>IFERROR(VLOOKUP(AC434,'Training Matrix'!B$4:C$24,2,0),"")</f>
        <v/>
      </c>
      <c r="AE434" s="218"/>
      <c r="AF434" s="188" t="str">
        <f t="shared" si="550"/>
        <v/>
      </c>
      <c r="AG434" s="189" t="str">
        <f t="shared" ca="1" si="551"/>
        <v/>
      </c>
      <c r="AH434" s="50" t="str">
        <f t="shared" ref="AH434" si="606">IF(OR(AC434="",AE434=""),"",CONCATENATE(AC434,"_",K418,"_",L418))</f>
        <v/>
      </c>
    </row>
    <row r="435" spans="1:34" x14ac:dyDescent="0.25">
      <c r="A435" s="5" t="str">
        <f>IF(LEFT(F435,15)='SOP template'!$B$1,1,"")</f>
        <v/>
      </c>
      <c r="B435" s="190" t="str">
        <f t="shared" si="598"/>
        <v>SOP.024.18</v>
      </c>
      <c r="C435" s="190" t="str">
        <f t="shared" si="588"/>
        <v>SOP.024.</v>
      </c>
      <c r="D435" s="190" t="str">
        <f t="shared" si="589"/>
        <v>SOP.024.</v>
      </c>
      <c r="E435" s="190">
        <f t="shared" si="542"/>
        <v>18</v>
      </c>
      <c r="F435" s="190" t="str">
        <f t="shared" si="599"/>
        <v>..SOP.024.01020318</v>
      </c>
      <c r="G435" s="190" t="str">
        <f>IF(ISBLANK(N435),"",CONCATENATE(LEFT(F435,15),".",INDEX(Ref!A:A,MATCH(N435,Ref!$K$1:$K$333,0))))</f>
        <v/>
      </c>
      <c r="H435" s="181"/>
      <c r="I435" s="183"/>
      <c r="J435" s="181"/>
      <c r="K435" s="181"/>
      <c r="L435" s="182"/>
      <c r="M435" s="182"/>
      <c r="N435" s="183"/>
      <c r="O435" s="182"/>
      <c r="P435" s="182"/>
      <c r="Q435" s="184"/>
      <c r="R435" s="184"/>
      <c r="S435" s="185" t="str">
        <f>IFERROR(CLEAN(INDEX('Risk Matrix'!$H$7:$L$11,MATCH($Q435,'Risk Matrix'!$F$7:$F$11,0),MATCH($R435,'Risk Matrix'!$H$6:$L$6,0))),"")</f>
        <v/>
      </c>
      <c r="T435" s="85" t="str">
        <f>IF(LEFT($B435,7)=RIGHT('SOP template'!$B$1,7),_xlfn.NUMBERVALUE(RIGHT($S435,2)),"")</f>
        <v/>
      </c>
      <c r="U435" s="182"/>
      <c r="V435" s="182"/>
      <c r="W435" s="182"/>
      <c r="X435" s="182"/>
      <c r="Y435" s="182"/>
      <c r="Z435" s="183"/>
      <c r="AA435" s="186" t="str">
        <f>IFERROR(VLOOKUP(IFERROR(LEFT(S435,4),""),Ref!$AF$2:$AG$5,2,0),"")</f>
        <v/>
      </c>
      <c r="AB435" s="146"/>
      <c r="AC435" s="218"/>
      <c r="AD435" s="187" t="str">
        <f>IFERROR(VLOOKUP(AC435,'Training Matrix'!B$4:C$24,2,0),"")</f>
        <v/>
      </c>
      <c r="AE435" s="218"/>
      <c r="AF435" s="188" t="str">
        <f t="shared" si="550"/>
        <v/>
      </c>
      <c r="AG435" s="189" t="str">
        <f t="shared" ca="1" si="551"/>
        <v/>
      </c>
      <c r="AH435" s="50" t="str">
        <f t="shared" ref="AH435" si="607">IF(OR(AC435="",AE435=""),"",CONCATENATE(AC435,"_",K418,"_",L418))</f>
        <v/>
      </c>
    </row>
    <row r="436" spans="1:34" x14ac:dyDescent="0.25">
      <c r="A436" s="5" t="str">
        <f>IF(LEFT(F436,15)='SOP template'!$B$1,1,"")</f>
        <v/>
      </c>
      <c r="B436" s="179" t="str">
        <f t="shared" ref="B436" si="608">IF(ISBLANK($K436),CONCATENATE($B$2,".",TEXT(J436,"000"),".",$E436),CONCATENATE(RIGHT($K436,7),".1"))</f>
        <v>SOP.025.1</v>
      </c>
      <c r="C436" s="179" t="str">
        <f>IF(ISBLANK($K436),CONCATENATE(LEFT(#REF!,8),IF($E436=1,1.1,IF($E436=2,1.4,IF($E436=3,2,IF($E436=4,2.4,IF($E436=5,3,IF($E436=6,3.4,IF($E436=7,4,IF($E436=8,4.4,IF($E436=9,5,IF($E436=10,5.4,IF($E436=11,6,IF($E436=12,6.4,""))))))))))))),CONCATENATE(RIGHT($K436,7),".1"))</f>
        <v>SOP.025.1</v>
      </c>
      <c r="D436" s="179" t="str">
        <f>IF(ISBLANK($K436),CONCATENATE(LEFT(#REF!,8),IF($E436=1,1,IF($E436=2,1.3,IF($E436=3,1.5,IF($E436=4,2,IF($E436=5,2.3,IF($E436=6,2.5,IF($E436=7,3,IF($E436=8,3.3,IF($E436=9,3.5,IF($E436=10,4,IF($E436=11,4.3,IF($E436=12,4.5,""))))))))))))),CONCATENATE(RIGHT($K436,7),".1"))</f>
        <v>SOP.025.1</v>
      </c>
      <c r="E436" s="179">
        <f t="shared" si="542"/>
        <v>1</v>
      </c>
      <c r="F436" s="179" t="str">
        <f t="shared" ref="F436" si="609">K436&amp;"."&amp;TEXT(E436,"00")</f>
        <v>..SOP.025.01</v>
      </c>
      <c r="G436" s="179" t="str">
        <f>IF(ISBLANK(N436),"",CONCATENATE(LEFT(F436,15),".",INDEX(Ref!A:A,MATCH(N436,Ref!$K$1:$K$333,0))))</f>
        <v/>
      </c>
      <c r="H436" s="217"/>
      <c r="I436" s="217"/>
      <c r="J436" s="180">
        <v>25</v>
      </c>
      <c r="K436" s="181" t="str">
        <f>IFERROR(CONCATENATE(INDEX(Ref!$Z$2:$Z$8,MATCH(H436,Ref!$AA$2:$AA$8,0)),".",I436,".SOP.",TEXT(J436,"000")),CONCATENATE(H436,".",I436,".SOP.",TEXT(J436,"000")))</f>
        <v>..SOP.025</v>
      </c>
      <c r="L436" s="191"/>
      <c r="M436" s="182"/>
      <c r="N436" s="183"/>
      <c r="O436" s="182"/>
      <c r="P436" s="182"/>
      <c r="Q436" s="184"/>
      <c r="R436" s="184"/>
      <c r="S436" s="185" t="str">
        <f>IFERROR(CLEAN(INDEX('Risk Matrix'!$H$7:$L$11,MATCH($Q436,'Risk Matrix'!$F$7:$F$11,0),MATCH($R436,'Risk Matrix'!$H$6:$L$6,0))),"")</f>
        <v/>
      </c>
      <c r="T436" s="85" t="str">
        <f>IF(LEFT($B436,7)=RIGHT('SOP template'!$B$1,7),_xlfn.NUMBERVALUE(RIGHT($S436,2)),"")</f>
        <v/>
      </c>
      <c r="U436" s="182"/>
      <c r="V436" s="182"/>
      <c r="W436" s="182"/>
      <c r="X436" s="182"/>
      <c r="Y436" s="182"/>
      <c r="Z436" s="182"/>
      <c r="AA436" s="186" t="str">
        <f>IFERROR(VLOOKUP(IFERROR(LEFT(S436,4),""),Ref!$AF$2:$AG$5,2,0),"")</f>
        <v/>
      </c>
      <c r="AB436" s="186">
        <f>MIN($AA436:$AA453)</f>
        <v>0</v>
      </c>
      <c r="AC436" s="218"/>
      <c r="AD436" s="187" t="str">
        <f>IFERROR(VLOOKUP(AC436,'Training Matrix'!B$4:C$24,2,0),"")</f>
        <v/>
      </c>
      <c r="AE436" s="218"/>
      <c r="AF436" s="188" t="str">
        <f t="shared" si="550"/>
        <v/>
      </c>
      <c r="AG436" s="189" t="str">
        <f t="shared" ca="1" si="551"/>
        <v/>
      </c>
      <c r="AH436" s="50" t="str">
        <f t="shared" ref="AH436" si="610">IF(OR(AC436="",AE436=""),"",CONCATENATE(AC436,"_",K436,"_",L436))</f>
        <v/>
      </c>
    </row>
    <row r="437" spans="1:34" x14ac:dyDescent="0.25">
      <c r="A437" s="5" t="str">
        <f>IF(LEFT(F437,15)='SOP template'!$B$1,1,"")</f>
        <v/>
      </c>
      <c r="B437" s="190" t="str">
        <f t="shared" ref="B437:B445" si="611">CONCATENATE(LEFT(B436,8),E437)</f>
        <v>SOP.025.2</v>
      </c>
      <c r="C437" s="190" t="str">
        <f t="shared" ref="C437:C471" si="612">IF(ISBLANK($K437),CONCATENATE(LEFT($B436,8),IF($E437=1,1.1,IF($E437=2,1.4,IF($E437=3,2,IF($E437=4,2.4,IF($E437=5,3,IF($E437=6,3.4,IF($E437=7,4,IF($E437=8,4.4,IF($E437=9,5,IF($E437=10,5.4,IF($E437=11,6,IF($E437=12,6.4,""))))))))))))),CONCATENATE(RIGHT($K437,7),".1"))</f>
        <v>SOP.025.1.4</v>
      </c>
      <c r="D437" s="190" t="str">
        <f t="shared" ref="D437:D471" si="613">IF(ISBLANK($K437),CONCATENATE(LEFT($B436,8),IF($E437=1,1,IF($E437=2,1.3,IF($E437=3,1.5,IF($E437=4,2,IF($E437=5,2.3,IF($E437=6,2.5,IF($E437=7,3,IF($E437=8,3.3,IF($E437=9,3.5,IF($E437=10,4,IF($E437=11,4.3,IF($E437=12,4.5,""))))))))))))),CONCATENATE(RIGHT($K437,7),".1"))</f>
        <v>SOP.025.1.3</v>
      </c>
      <c r="E437" s="190">
        <f t="shared" si="542"/>
        <v>2</v>
      </c>
      <c r="F437" s="190" t="str">
        <f t="shared" ref="F437:F445" si="614">IF(K437=0,LEFT(F436,16)&amp;TEXT(E437,"00"),K437&amp;"."&amp;TEXT(E437,"00"))</f>
        <v>..SOP.025.0102</v>
      </c>
      <c r="G437" s="190" t="str">
        <f>IF(ISBLANK(N437),"",CONCATENATE(LEFT(F437,15),".",INDEX(Ref!A:A,MATCH(N437,Ref!$K$1:$K$333,0))))</f>
        <v/>
      </c>
      <c r="H437" s="181"/>
      <c r="I437" s="183"/>
      <c r="J437" s="181"/>
      <c r="K437" s="181"/>
      <c r="L437" s="182"/>
      <c r="M437" s="182"/>
      <c r="N437" s="183"/>
      <c r="O437" s="182"/>
      <c r="P437" s="182"/>
      <c r="Q437" s="184"/>
      <c r="R437" s="184"/>
      <c r="S437" s="185" t="str">
        <f>IFERROR(CLEAN(INDEX('Risk Matrix'!$H$7:$L$11,MATCH($Q437,'Risk Matrix'!$F$7:$F$11,0),MATCH($R437,'Risk Matrix'!$H$6:$L$6,0))),"")</f>
        <v/>
      </c>
      <c r="T437" s="85" t="str">
        <f>IF(LEFT($B437,7)=RIGHT('SOP template'!$B$1,7),_xlfn.NUMBERVALUE(RIGHT($S437,2)),"")</f>
        <v/>
      </c>
      <c r="U437" s="182"/>
      <c r="V437" s="182"/>
      <c r="W437" s="182"/>
      <c r="X437" s="182"/>
      <c r="Y437" s="182"/>
      <c r="Z437" s="182"/>
      <c r="AA437" s="186" t="str">
        <f>IFERROR(VLOOKUP(IFERROR(LEFT(S437,4),""),Ref!$AF$2:$AG$5,2,0),"")</f>
        <v/>
      </c>
      <c r="AB437" s="146"/>
      <c r="AC437" s="218"/>
      <c r="AD437" s="187" t="str">
        <f>IFERROR(VLOOKUP(AC437,'Training Matrix'!B$4:C$24,2,0),"")</f>
        <v/>
      </c>
      <c r="AE437" s="218"/>
      <c r="AF437" s="188" t="str">
        <f t="shared" si="550"/>
        <v/>
      </c>
      <c r="AG437" s="189" t="str">
        <f t="shared" ca="1" si="551"/>
        <v/>
      </c>
      <c r="AH437" s="50" t="str">
        <f t="shared" ref="AH437" si="615">IF(OR(AC437="",AE437=""),"",CONCATENATE(AC437,"_",K436,"_",L436))</f>
        <v/>
      </c>
    </row>
    <row r="438" spans="1:34" x14ac:dyDescent="0.25">
      <c r="A438" s="5" t="str">
        <f>IF(LEFT(F438,15)='SOP template'!$B$1,1,"")</f>
        <v/>
      </c>
      <c r="B438" s="190" t="str">
        <f t="shared" si="611"/>
        <v>SOP.025.3</v>
      </c>
      <c r="C438" s="190" t="str">
        <f t="shared" si="612"/>
        <v>SOP.025.2</v>
      </c>
      <c r="D438" s="190" t="str">
        <f t="shared" si="613"/>
        <v>SOP.025.1.5</v>
      </c>
      <c r="E438" s="190">
        <f t="shared" si="542"/>
        <v>3</v>
      </c>
      <c r="F438" s="190" t="str">
        <f t="shared" si="614"/>
        <v>..SOP.025.010203</v>
      </c>
      <c r="G438" s="190" t="str">
        <f>IF(ISBLANK(N438),"",CONCATENATE(LEFT(F438,15),".",INDEX(Ref!A:A,MATCH(N438,Ref!$K$1:$K$333,0))))</f>
        <v/>
      </c>
      <c r="H438" s="181"/>
      <c r="I438" s="183"/>
      <c r="J438" s="181"/>
      <c r="K438" s="181"/>
      <c r="L438" s="182"/>
      <c r="M438" s="182"/>
      <c r="N438" s="183"/>
      <c r="O438" s="182"/>
      <c r="P438" s="182"/>
      <c r="Q438" s="184"/>
      <c r="R438" s="184"/>
      <c r="S438" s="185" t="str">
        <f>IFERROR(CLEAN(INDEX('Risk Matrix'!$H$7:$L$11,MATCH($Q438,'Risk Matrix'!$F$7:$F$11,0),MATCH($R438,'Risk Matrix'!$H$6:$L$6,0))),"")</f>
        <v/>
      </c>
      <c r="T438" s="85" t="str">
        <f>IF(LEFT($B438,7)=RIGHT('SOP template'!$B$1,7),_xlfn.NUMBERVALUE(RIGHT($S438,2)),"")</f>
        <v/>
      </c>
      <c r="U438" s="182"/>
      <c r="V438" s="182"/>
      <c r="W438" s="182"/>
      <c r="X438" s="182"/>
      <c r="Y438" s="182"/>
      <c r="Z438" s="182"/>
      <c r="AA438" s="186" t="str">
        <f>IFERROR(VLOOKUP(IFERROR(LEFT(S438,4),""),Ref!$AF$2:$AG$5,2,0),"")</f>
        <v/>
      </c>
      <c r="AB438" s="146"/>
      <c r="AC438" s="218"/>
      <c r="AD438" s="187" t="str">
        <f>IFERROR(VLOOKUP(AC438,'Training Matrix'!B$4:C$24,2,0),"")</f>
        <v/>
      </c>
      <c r="AE438" s="218"/>
      <c r="AF438" s="188" t="str">
        <f t="shared" si="550"/>
        <v/>
      </c>
      <c r="AG438" s="189" t="str">
        <f t="shared" ca="1" si="551"/>
        <v/>
      </c>
      <c r="AH438" s="50" t="str">
        <f t="shared" ref="AH438" si="616">IF(OR(AC438="",AE438=""),"",CONCATENATE(AC438,"_",K436,"_",L436))</f>
        <v/>
      </c>
    </row>
    <row r="439" spans="1:34" x14ac:dyDescent="0.25">
      <c r="A439" s="5" t="str">
        <f>IF(LEFT(F439,15)='SOP template'!$B$1,1,"")</f>
        <v/>
      </c>
      <c r="B439" s="190" t="str">
        <f t="shared" si="611"/>
        <v>SOP.025.4</v>
      </c>
      <c r="C439" s="190" t="str">
        <f t="shared" si="612"/>
        <v>SOP.025.2.4</v>
      </c>
      <c r="D439" s="190" t="str">
        <f t="shared" si="613"/>
        <v>SOP.025.2</v>
      </c>
      <c r="E439" s="190">
        <f t="shared" si="542"/>
        <v>4</v>
      </c>
      <c r="F439" s="190" t="str">
        <f t="shared" si="614"/>
        <v>..SOP.025.01020304</v>
      </c>
      <c r="G439" s="190" t="str">
        <f>IF(ISBLANK(N439),"",CONCATENATE(LEFT(F439,15),".",INDEX(Ref!A:A,MATCH(N439,Ref!$K$1:$K$333,0))))</f>
        <v/>
      </c>
      <c r="H439" s="181"/>
      <c r="I439" s="183"/>
      <c r="J439" s="181"/>
      <c r="K439" s="181"/>
      <c r="L439" s="182"/>
      <c r="M439" s="182"/>
      <c r="N439" s="183"/>
      <c r="O439" s="182"/>
      <c r="P439" s="182"/>
      <c r="Q439" s="184"/>
      <c r="R439" s="184"/>
      <c r="S439" s="185" t="str">
        <f>IFERROR(CLEAN(INDEX('Risk Matrix'!$H$7:$L$11,MATCH($Q439,'Risk Matrix'!$F$7:$F$11,0),MATCH($R439,'Risk Matrix'!$H$6:$L$6,0))),"")</f>
        <v/>
      </c>
      <c r="T439" s="85" t="str">
        <f>IF(LEFT($B439,7)=RIGHT('SOP template'!$B$1,7),_xlfn.NUMBERVALUE(RIGHT($S439,2)),"")</f>
        <v/>
      </c>
      <c r="U439" s="182"/>
      <c r="V439" s="182"/>
      <c r="W439" s="182"/>
      <c r="X439" s="182"/>
      <c r="Y439" s="182"/>
      <c r="Z439" s="182"/>
      <c r="AA439" s="186" t="str">
        <f>IFERROR(VLOOKUP(IFERROR(LEFT(S439,4),""),Ref!$AF$2:$AG$5,2,0),"")</f>
        <v/>
      </c>
      <c r="AB439" s="146"/>
      <c r="AC439" s="218"/>
      <c r="AD439" s="187" t="str">
        <f>IFERROR(VLOOKUP(AC439,'Training Matrix'!B$4:C$24,2,0),"")</f>
        <v/>
      </c>
      <c r="AE439" s="218"/>
      <c r="AF439" s="188" t="str">
        <f t="shared" si="550"/>
        <v/>
      </c>
      <c r="AG439" s="189" t="str">
        <f t="shared" ca="1" si="551"/>
        <v/>
      </c>
      <c r="AH439" s="50" t="str">
        <f t="shared" ref="AH439" si="617">IF(OR(AC439="",AE439=""),"",CONCATENATE(AC439,"_",K436,"_",L436))</f>
        <v/>
      </c>
    </row>
    <row r="440" spans="1:34" x14ac:dyDescent="0.25">
      <c r="A440" s="5" t="str">
        <f>IF(LEFT(F440,15)='SOP template'!$B$1,1,"")</f>
        <v/>
      </c>
      <c r="B440" s="190" t="str">
        <f t="shared" si="611"/>
        <v>SOP.025.5</v>
      </c>
      <c r="C440" s="190" t="str">
        <f t="shared" si="612"/>
        <v>SOP.025.3</v>
      </c>
      <c r="D440" s="190" t="str">
        <f t="shared" si="613"/>
        <v>SOP.025.2.3</v>
      </c>
      <c r="E440" s="190">
        <f t="shared" si="542"/>
        <v>5</v>
      </c>
      <c r="F440" s="190" t="str">
        <f t="shared" si="614"/>
        <v>..SOP.025.01020305</v>
      </c>
      <c r="G440" s="190" t="str">
        <f>IF(ISBLANK(N440),"",CONCATENATE(LEFT(F440,15),".",INDEX(Ref!A:A,MATCH(N440,Ref!$K$1:$K$333,0))))</f>
        <v/>
      </c>
      <c r="H440" s="181"/>
      <c r="I440" s="183"/>
      <c r="J440" s="181"/>
      <c r="K440" s="181"/>
      <c r="L440" s="182"/>
      <c r="M440" s="182"/>
      <c r="N440" s="183"/>
      <c r="O440" s="182"/>
      <c r="P440" s="182"/>
      <c r="Q440" s="184"/>
      <c r="R440" s="184"/>
      <c r="S440" s="185" t="str">
        <f>IFERROR(CLEAN(INDEX('Risk Matrix'!$H$7:$L$11,MATCH($Q440,'Risk Matrix'!$F$7:$F$11,0),MATCH($R440,'Risk Matrix'!$H$6:$L$6,0))),"")</f>
        <v/>
      </c>
      <c r="T440" s="85" t="str">
        <f>IF(LEFT($B440,7)=RIGHT('SOP template'!$B$1,7),_xlfn.NUMBERVALUE(RIGHT($S440,2)),"")</f>
        <v/>
      </c>
      <c r="U440" s="182"/>
      <c r="V440" s="182"/>
      <c r="W440" s="182"/>
      <c r="X440" s="182"/>
      <c r="Y440" s="182"/>
      <c r="Z440" s="182"/>
      <c r="AA440" s="186" t="str">
        <f>IFERROR(VLOOKUP(IFERROR(LEFT(S440,4),""),Ref!$AF$2:$AG$5,2,0),"")</f>
        <v/>
      </c>
      <c r="AB440" s="146"/>
      <c r="AC440" s="218"/>
      <c r="AD440" s="187" t="str">
        <f>IFERROR(VLOOKUP(AC440,'Training Matrix'!B$4:C$24,2,0),"")</f>
        <v/>
      </c>
      <c r="AE440" s="218"/>
      <c r="AF440" s="188" t="str">
        <f t="shared" si="550"/>
        <v/>
      </c>
      <c r="AG440" s="189" t="str">
        <f t="shared" ca="1" si="551"/>
        <v/>
      </c>
      <c r="AH440" s="50" t="str">
        <f t="shared" ref="AH440" si="618">IF(OR(AC440="",AE440=""),"",CONCATENATE(AC440,"_",K436,"_",L436))</f>
        <v/>
      </c>
    </row>
    <row r="441" spans="1:34" x14ac:dyDescent="0.25">
      <c r="A441" s="5" t="str">
        <f>IF(LEFT(F441,15)='SOP template'!$B$1,1,"")</f>
        <v/>
      </c>
      <c r="B441" s="190" t="str">
        <f t="shared" si="611"/>
        <v>SOP.025.6</v>
      </c>
      <c r="C441" s="190" t="str">
        <f t="shared" si="612"/>
        <v>SOP.025.3.4</v>
      </c>
      <c r="D441" s="190" t="str">
        <f t="shared" si="613"/>
        <v>SOP.025.2.5</v>
      </c>
      <c r="E441" s="190">
        <f t="shared" si="542"/>
        <v>6</v>
      </c>
      <c r="F441" s="190" t="str">
        <f t="shared" si="614"/>
        <v>..SOP.025.01020306</v>
      </c>
      <c r="G441" s="190" t="str">
        <f>IF(ISBLANK(N441),"",CONCATENATE(LEFT(F441,15),".",INDEX(Ref!A:A,MATCH(N441,Ref!$K$1:$K$333,0))))</f>
        <v/>
      </c>
      <c r="H441" s="181"/>
      <c r="I441" s="183"/>
      <c r="J441" s="181"/>
      <c r="K441" s="181"/>
      <c r="L441" s="182"/>
      <c r="M441" s="182"/>
      <c r="N441" s="183"/>
      <c r="O441" s="182"/>
      <c r="P441" s="182"/>
      <c r="Q441" s="184"/>
      <c r="R441" s="184"/>
      <c r="S441" s="185" t="str">
        <f>IFERROR(CLEAN(INDEX('Risk Matrix'!$H$7:$L$11,MATCH($Q441,'Risk Matrix'!$F$7:$F$11,0),MATCH($R441,'Risk Matrix'!$H$6:$L$6,0))),"")</f>
        <v/>
      </c>
      <c r="T441" s="85" t="str">
        <f>IF(LEFT($B441,7)=RIGHT('SOP template'!$B$1,7),_xlfn.NUMBERVALUE(RIGHT($S441,2)),"")</f>
        <v/>
      </c>
      <c r="U441" s="182"/>
      <c r="V441" s="182"/>
      <c r="W441" s="182"/>
      <c r="X441" s="182"/>
      <c r="Y441" s="182"/>
      <c r="Z441" s="183"/>
      <c r="AA441" s="186" t="str">
        <f>IFERROR(VLOOKUP(IFERROR(LEFT(S441,4),""),Ref!$AF$2:$AG$5,2,0),"")</f>
        <v/>
      </c>
      <c r="AB441" s="146"/>
      <c r="AC441" s="218"/>
      <c r="AD441" s="187" t="str">
        <f>IFERROR(VLOOKUP(AC441,'Training Matrix'!B$4:C$24,2,0),"")</f>
        <v/>
      </c>
      <c r="AE441" s="218"/>
      <c r="AF441" s="188" t="str">
        <f t="shared" si="550"/>
        <v/>
      </c>
      <c r="AG441" s="189" t="str">
        <f t="shared" ca="1" si="551"/>
        <v/>
      </c>
      <c r="AH441" s="50" t="str">
        <f t="shared" ref="AH441" si="619">IF(OR(AC441="",AE441=""),"",CONCATENATE(AC441,"_",K436,"_",L436))</f>
        <v/>
      </c>
    </row>
    <row r="442" spans="1:34" x14ac:dyDescent="0.25">
      <c r="A442" s="5" t="str">
        <f>IF(LEFT(F442,15)='SOP template'!$B$1,1,"")</f>
        <v/>
      </c>
      <c r="B442" s="190" t="str">
        <f t="shared" si="611"/>
        <v>SOP.025.7</v>
      </c>
      <c r="C442" s="190" t="str">
        <f t="shared" si="612"/>
        <v>SOP.025.4</v>
      </c>
      <c r="D442" s="190" t="str">
        <f t="shared" si="613"/>
        <v>SOP.025.3</v>
      </c>
      <c r="E442" s="190">
        <f t="shared" si="542"/>
        <v>7</v>
      </c>
      <c r="F442" s="190" t="str">
        <f t="shared" si="614"/>
        <v>..SOP.025.01020307</v>
      </c>
      <c r="G442" s="190" t="str">
        <f>IF(ISBLANK(N442),"",CONCATENATE(LEFT(F442,15),".",INDEX(Ref!A:A,MATCH(N442,Ref!$K$1:$K$333,0))))</f>
        <v/>
      </c>
      <c r="H442" s="181"/>
      <c r="I442" s="183"/>
      <c r="J442" s="181"/>
      <c r="K442" s="181"/>
      <c r="L442" s="182"/>
      <c r="M442" s="182"/>
      <c r="N442" s="183"/>
      <c r="O442" s="182"/>
      <c r="P442" s="182"/>
      <c r="Q442" s="184"/>
      <c r="R442" s="184"/>
      <c r="S442" s="185" t="str">
        <f>IFERROR(CLEAN(INDEX('Risk Matrix'!$H$7:$L$11,MATCH($Q442,'Risk Matrix'!$F$7:$F$11,0),MATCH($R442,'Risk Matrix'!$H$6:$L$6,0))),"")</f>
        <v/>
      </c>
      <c r="T442" s="85" t="str">
        <f>IF(LEFT($B442,7)=RIGHT('SOP template'!$B$1,7),_xlfn.NUMBERVALUE(RIGHT($S442,2)),"")</f>
        <v/>
      </c>
      <c r="U442" s="182"/>
      <c r="V442" s="198"/>
      <c r="W442" s="182"/>
      <c r="X442" s="182"/>
      <c r="Y442" s="182"/>
      <c r="Z442" s="183"/>
      <c r="AA442" s="186" t="str">
        <f>IFERROR(VLOOKUP(IFERROR(LEFT(S442,4),""),Ref!$AF$2:$AG$5,2,0),"")</f>
        <v/>
      </c>
      <c r="AB442" s="146"/>
      <c r="AC442" s="218"/>
      <c r="AD442" s="187" t="str">
        <f>IFERROR(VLOOKUP(AC442,'Training Matrix'!B$4:C$24,2,0),"")</f>
        <v/>
      </c>
      <c r="AE442" s="218"/>
      <c r="AF442" s="188" t="str">
        <f t="shared" si="550"/>
        <v/>
      </c>
      <c r="AG442" s="189" t="str">
        <f t="shared" ca="1" si="551"/>
        <v/>
      </c>
      <c r="AH442" s="50" t="str">
        <f t="shared" ref="AH442" si="620">IF(OR(AC442="",AE442=""),"",CONCATENATE(AC442,"_",K436,"_",L436))</f>
        <v/>
      </c>
    </row>
    <row r="443" spans="1:34" x14ac:dyDescent="0.25">
      <c r="A443" s="5" t="str">
        <f>IF(LEFT(F443,15)='SOP template'!$B$1,1,"")</f>
        <v/>
      </c>
      <c r="B443" s="190" t="str">
        <f t="shared" si="611"/>
        <v>SOP.025.8</v>
      </c>
      <c r="C443" s="190" t="str">
        <f t="shared" si="612"/>
        <v>SOP.025.4.4</v>
      </c>
      <c r="D443" s="190" t="str">
        <f t="shared" si="613"/>
        <v>SOP.025.3.3</v>
      </c>
      <c r="E443" s="190">
        <f t="shared" si="542"/>
        <v>8</v>
      </c>
      <c r="F443" s="190" t="str">
        <f t="shared" si="614"/>
        <v>..SOP.025.01020308</v>
      </c>
      <c r="G443" s="190" t="str">
        <f>IF(ISBLANK(N443),"",CONCATENATE(LEFT(F443,15),".",INDEX(Ref!A:A,MATCH(N443,Ref!$K$1:$K$333,0))))</f>
        <v/>
      </c>
      <c r="H443" s="181"/>
      <c r="I443" s="183"/>
      <c r="J443" s="181"/>
      <c r="K443" s="181"/>
      <c r="L443" s="182"/>
      <c r="M443" s="182"/>
      <c r="N443" s="183"/>
      <c r="O443" s="182"/>
      <c r="P443" s="182"/>
      <c r="Q443" s="184"/>
      <c r="R443" s="184"/>
      <c r="S443" s="185" t="str">
        <f>IFERROR(CLEAN(INDEX('Risk Matrix'!$H$7:$L$11,MATCH($Q443,'Risk Matrix'!$F$7:$F$11,0),MATCH($R443,'Risk Matrix'!$H$6:$L$6,0))),"")</f>
        <v/>
      </c>
      <c r="T443" s="85" t="str">
        <f>IF(LEFT($B443,7)=RIGHT('SOP template'!$B$1,7),_xlfn.NUMBERVALUE(RIGHT($S443,2)),"")</f>
        <v/>
      </c>
      <c r="U443" s="182"/>
      <c r="V443" s="198"/>
      <c r="W443" s="182"/>
      <c r="X443" s="182"/>
      <c r="Y443" s="182"/>
      <c r="Z443" s="183"/>
      <c r="AA443" s="186" t="str">
        <f>IFERROR(VLOOKUP(IFERROR(LEFT(S443,4),""),Ref!$AF$2:$AG$5,2,0),"")</f>
        <v/>
      </c>
      <c r="AB443" s="146"/>
      <c r="AC443" s="218"/>
      <c r="AD443" s="187" t="str">
        <f>IFERROR(VLOOKUP(AC443,'Training Matrix'!B$4:C$24,2,0),"")</f>
        <v/>
      </c>
      <c r="AE443" s="218"/>
      <c r="AF443" s="188" t="str">
        <f t="shared" si="550"/>
        <v/>
      </c>
      <c r="AG443" s="189" t="str">
        <f t="shared" ca="1" si="551"/>
        <v/>
      </c>
      <c r="AH443" s="50" t="str">
        <f t="shared" ref="AH443" si="621">IF(OR(AC443="",AE443=""),"",CONCATENATE(AC443,"_",K436,"_",L436))</f>
        <v/>
      </c>
    </row>
    <row r="444" spans="1:34" x14ac:dyDescent="0.25">
      <c r="A444" s="5" t="str">
        <f>IF(LEFT(F444,15)='SOP template'!$B$1,1,"")</f>
        <v/>
      </c>
      <c r="B444" s="190" t="str">
        <f t="shared" si="611"/>
        <v>SOP.025.9</v>
      </c>
      <c r="C444" s="190" t="str">
        <f t="shared" si="612"/>
        <v>SOP.025.5</v>
      </c>
      <c r="D444" s="190" t="str">
        <f t="shared" si="613"/>
        <v>SOP.025.3.5</v>
      </c>
      <c r="E444" s="190">
        <f t="shared" si="542"/>
        <v>9</v>
      </c>
      <c r="F444" s="190" t="str">
        <f t="shared" si="614"/>
        <v>..SOP.025.01020309</v>
      </c>
      <c r="G444" s="190" t="str">
        <f>IF(ISBLANK(N444),"",CONCATENATE(LEFT(F444,15),".",INDEX(Ref!A:A,MATCH(N444,Ref!$K$1:$K$333,0))))</f>
        <v/>
      </c>
      <c r="H444" s="181"/>
      <c r="I444" s="183"/>
      <c r="J444" s="181"/>
      <c r="K444" s="181"/>
      <c r="L444" s="182"/>
      <c r="M444" s="182"/>
      <c r="N444" s="183"/>
      <c r="O444" s="182"/>
      <c r="P444" s="182"/>
      <c r="Q444" s="184"/>
      <c r="R444" s="184"/>
      <c r="S444" s="185" t="str">
        <f>IFERROR(CLEAN(INDEX('Risk Matrix'!$H$7:$L$11,MATCH($Q444,'Risk Matrix'!$F$7:$F$11,0),MATCH($R444,'Risk Matrix'!$H$6:$L$6,0))),"")</f>
        <v/>
      </c>
      <c r="T444" s="85" t="str">
        <f>IF(LEFT($B444,7)=RIGHT('SOP template'!$B$1,7),_xlfn.NUMBERVALUE(RIGHT($S444,2)),"")</f>
        <v/>
      </c>
      <c r="U444" s="182"/>
      <c r="V444" s="182"/>
      <c r="W444" s="182"/>
      <c r="X444" s="182"/>
      <c r="Y444" s="182"/>
      <c r="Z444" s="183"/>
      <c r="AA444" s="186" t="str">
        <f>IFERROR(VLOOKUP(IFERROR(LEFT(S444,4),""),Ref!$AF$2:$AG$5,2,0),"")</f>
        <v/>
      </c>
      <c r="AB444" s="146"/>
      <c r="AC444" s="218"/>
      <c r="AD444" s="187" t="str">
        <f>IFERROR(VLOOKUP(AC444,'Training Matrix'!B$4:C$24,2,0),"")</f>
        <v/>
      </c>
      <c r="AE444" s="218"/>
      <c r="AF444" s="188" t="str">
        <f t="shared" si="550"/>
        <v/>
      </c>
      <c r="AG444" s="189" t="str">
        <f t="shared" ca="1" si="551"/>
        <v/>
      </c>
      <c r="AH444" s="50" t="str">
        <f t="shared" ref="AH444" si="622">IF(OR(AC444="",AE444=""),"",CONCATENATE(AC444,"_",K436,"_",L436))</f>
        <v/>
      </c>
    </row>
    <row r="445" spans="1:34" x14ac:dyDescent="0.25">
      <c r="A445" s="5" t="str">
        <f>IF(LEFT(F445,15)='SOP template'!$B$1,1,"")</f>
        <v/>
      </c>
      <c r="B445" s="190" t="str">
        <f t="shared" si="611"/>
        <v>SOP.025.10</v>
      </c>
      <c r="C445" s="190" t="str">
        <f t="shared" si="612"/>
        <v>SOP.025.5.4</v>
      </c>
      <c r="D445" s="190" t="str">
        <f t="shared" si="613"/>
        <v>SOP.025.4</v>
      </c>
      <c r="E445" s="190">
        <f t="shared" si="542"/>
        <v>10</v>
      </c>
      <c r="F445" s="190" t="str">
        <f t="shared" si="614"/>
        <v>..SOP.025.01020310</v>
      </c>
      <c r="G445" s="190" t="str">
        <f>IF(ISBLANK(N445),"",CONCATENATE(LEFT(F445,15),".",INDEX(Ref!A:A,MATCH(N445,Ref!$K$1:$K$333,0))))</f>
        <v/>
      </c>
      <c r="H445" s="181"/>
      <c r="I445" s="183"/>
      <c r="J445" s="181"/>
      <c r="K445" s="181"/>
      <c r="L445" s="182"/>
      <c r="M445" s="182"/>
      <c r="N445" s="183"/>
      <c r="O445" s="182"/>
      <c r="P445" s="182"/>
      <c r="Q445" s="184"/>
      <c r="R445" s="184"/>
      <c r="S445" s="185" t="str">
        <f>IFERROR(CLEAN(INDEX('Risk Matrix'!$H$7:$L$11,MATCH($Q445,'Risk Matrix'!$F$7:$F$11,0),MATCH($R445,'Risk Matrix'!$H$6:$L$6,0))),"")</f>
        <v/>
      </c>
      <c r="T445" s="85" t="str">
        <f>IF(LEFT($B445,7)=RIGHT('SOP template'!$B$1,7),_xlfn.NUMBERVALUE(RIGHT($S445,2)),"")</f>
        <v/>
      </c>
      <c r="U445" s="182"/>
      <c r="V445" s="182"/>
      <c r="W445" s="182"/>
      <c r="X445" s="182"/>
      <c r="Y445" s="182"/>
      <c r="Z445" s="183"/>
      <c r="AA445" s="186" t="str">
        <f>IFERROR(VLOOKUP(IFERROR(LEFT(S445,4),""),Ref!$AF$2:$AG$5,2,0),"")</f>
        <v/>
      </c>
      <c r="AB445" s="146"/>
      <c r="AC445" s="218"/>
      <c r="AD445" s="187" t="str">
        <f>IFERROR(VLOOKUP(AC445,'Training Matrix'!B$4:C$24,2,0),"")</f>
        <v/>
      </c>
      <c r="AE445" s="218"/>
      <c r="AF445" s="188" t="str">
        <f t="shared" si="550"/>
        <v/>
      </c>
      <c r="AG445" s="189" t="str">
        <f t="shared" ca="1" si="551"/>
        <v/>
      </c>
      <c r="AH445" s="50" t="str">
        <f t="shared" ref="AH445" si="623">IF(OR(AC445="",AE445=""),"",CONCATENATE(AC445,"_",K436,"_",L436))</f>
        <v/>
      </c>
    </row>
    <row r="446" spans="1:34" x14ac:dyDescent="0.25">
      <c r="A446" s="5" t="str">
        <f>IF(LEFT(F446,15)='SOP template'!$B$1,1,"")</f>
        <v/>
      </c>
      <c r="B446" s="190" t="str">
        <f t="shared" ref="B446:B453" si="624">CONCATENATE(LEFT(B445,8),E446)</f>
        <v>SOP.025.11</v>
      </c>
      <c r="C446" s="190" t="str">
        <f t="shared" si="612"/>
        <v>SOP.025.6</v>
      </c>
      <c r="D446" s="190" t="str">
        <f t="shared" si="613"/>
        <v>SOP.025.4.3</v>
      </c>
      <c r="E446" s="190">
        <f t="shared" si="542"/>
        <v>11</v>
      </c>
      <c r="F446" s="190" t="str">
        <f t="shared" ref="F446:F453" si="625">IF(K446=0,LEFT(F445,16)&amp;TEXT(E446,"00"),K446&amp;"."&amp;TEXT(E446,"00"))</f>
        <v>..SOP.025.01020311</v>
      </c>
      <c r="G446" s="190" t="str">
        <f>IF(ISBLANK(N446),"",CONCATENATE(LEFT(F446,15),".",INDEX(Ref!A:A,MATCH(N446,Ref!$K$1:$K$333,0))))</f>
        <v/>
      </c>
      <c r="H446" s="181"/>
      <c r="I446" s="183"/>
      <c r="J446" s="181"/>
      <c r="K446" s="181"/>
      <c r="L446" s="182"/>
      <c r="M446" s="182"/>
      <c r="N446" s="183"/>
      <c r="O446" s="182"/>
      <c r="P446" s="182"/>
      <c r="Q446" s="184"/>
      <c r="R446" s="184"/>
      <c r="S446" s="185" t="str">
        <f>IFERROR(CLEAN(INDEX('Risk Matrix'!$H$7:$L$11,MATCH($Q446,'Risk Matrix'!$F$7:$F$11,0),MATCH($R446,'Risk Matrix'!$H$6:$L$6,0))),"")</f>
        <v/>
      </c>
      <c r="T446" s="85" t="str">
        <f>IF(LEFT($B446,7)=RIGHT('SOP template'!$B$1,7),_xlfn.NUMBERVALUE(RIGHT($S446,2)),"")</f>
        <v/>
      </c>
      <c r="U446" s="182"/>
      <c r="V446" s="182"/>
      <c r="W446" s="182"/>
      <c r="X446" s="182"/>
      <c r="Y446" s="182"/>
      <c r="Z446" s="183"/>
      <c r="AA446" s="186" t="str">
        <f>IFERROR(VLOOKUP(IFERROR(LEFT(S446,4),""),Ref!$AF$2:$AG$5,2,0),"")</f>
        <v/>
      </c>
      <c r="AB446" s="146"/>
      <c r="AC446" s="218"/>
      <c r="AD446" s="187" t="str">
        <f>IFERROR(VLOOKUP(AC446,'Training Matrix'!B$4:C$24,2,0),"")</f>
        <v/>
      </c>
      <c r="AE446" s="218"/>
      <c r="AF446" s="188" t="str">
        <f t="shared" si="550"/>
        <v/>
      </c>
      <c r="AG446" s="189" t="str">
        <f t="shared" ca="1" si="551"/>
        <v/>
      </c>
      <c r="AH446" s="50" t="str">
        <f t="shared" ref="AH446" si="626">IF(OR(AC446="",AE446=""),"",CONCATENATE(AC446,"_",K436,"_",L436))</f>
        <v/>
      </c>
    </row>
    <row r="447" spans="1:34" x14ac:dyDescent="0.25">
      <c r="A447" s="5" t="str">
        <f>IF(LEFT(F447,15)='SOP template'!$B$1,1,"")</f>
        <v/>
      </c>
      <c r="B447" s="190" t="str">
        <f t="shared" si="624"/>
        <v>SOP.025.12</v>
      </c>
      <c r="C447" s="190" t="str">
        <f t="shared" si="612"/>
        <v>SOP.025.6.4</v>
      </c>
      <c r="D447" s="190" t="str">
        <f t="shared" si="613"/>
        <v>SOP.025.4.5</v>
      </c>
      <c r="E447" s="190">
        <f t="shared" si="542"/>
        <v>12</v>
      </c>
      <c r="F447" s="190" t="str">
        <f t="shared" si="625"/>
        <v>..SOP.025.01020312</v>
      </c>
      <c r="G447" s="190" t="str">
        <f>IF(ISBLANK(N447),"",CONCATENATE(LEFT(F447,15),".",INDEX(Ref!A:A,MATCH(N447,Ref!$K$1:$K$333,0))))</f>
        <v/>
      </c>
      <c r="H447" s="181"/>
      <c r="I447" s="183"/>
      <c r="J447" s="181"/>
      <c r="K447" s="181"/>
      <c r="L447" s="182"/>
      <c r="M447" s="182"/>
      <c r="N447" s="183"/>
      <c r="O447" s="182"/>
      <c r="P447" s="182"/>
      <c r="Q447" s="184"/>
      <c r="R447" s="184"/>
      <c r="S447" s="185" t="str">
        <f>IFERROR(CLEAN(INDEX('Risk Matrix'!$H$7:$L$11,MATCH($Q447,'Risk Matrix'!$F$7:$F$11,0),MATCH($R447,'Risk Matrix'!$H$6:$L$6,0))),"")</f>
        <v/>
      </c>
      <c r="T447" s="85" t="str">
        <f>IF(LEFT($B447,7)=RIGHT('SOP template'!$B$1,7),_xlfn.NUMBERVALUE(RIGHT($S447,2)),"")</f>
        <v/>
      </c>
      <c r="U447" s="182"/>
      <c r="V447" s="182"/>
      <c r="W447" s="182"/>
      <c r="X447" s="182"/>
      <c r="Y447" s="182"/>
      <c r="Z447" s="183"/>
      <c r="AA447" s="186" t="str">
        <f>IFERROR(VLOOKUP(IFERROR(LEFT(S447,4),""),Ref!$AF$2:$AG$5,2,0),"")</f>
        <v/>
      </c>
      <c r="AB447" s="146"/>
      <c r="AC447" s="218"/>
      <c r="AD447" s="187" t="str">
        <f>IFERROR(VLOOKUP(AC447,'Training Matrix'!B$4:C$24,2,0),"")</f>
        <v/>
      </c>
      <c r="AE447" s="218"/>
      <c r="AF447" s="188" t="str">
        <f t="shared" si="550"/>
        <v/>
      </c>
      <c r="AG447" s="189" t="str">
        <f t="shared" ca="1" si="551"/>
        <v/>
      </c>
      <c r="AH447" s="50" t="str">
        <f t="shared" ref="AH447" si="627">IF(OR(AC447="",AE447=""),"",CONCATENATE(AC447,"_",K436,"_",L436))</f>
        <v/>
      </c>
    </row>
    <row r="448" spans="1:34" x14ac:dyDescent="0.25">
      <c r="A448" s="5" t="str">
        <f>IF(LEFT(F448,15)='SOP template'!$B$1,1,"")</f>
        <v/>
      </c>
      <c r="B448" s="190" t="str">
        <f t="shared" si="624"/>
        <v>SOP.025.13</v>
      </c>
      <c r="C448" s="190" t="str">
        <f t="shared" si="612"/>
        <v>SOP.025.</v>
      </c>
      <c r="D448" s="190" t="str">
        <f t="shared" si="613"/>
        <v>SOP.025.</v>
      </c>
      <c r="E448" s="190">
        <f t="shared" si="542"/>
        <v>13</v>
      </c>
      <c r="F448" s="190" t="str">
        <f t="shared" si="625"/>
        <v>..SOP.025.01020313</v>
      </c>
      <c r="G448" s="190" t="str">
        <f>IF(ISBLANK(N448),"",CONCATENATE(LEFT(F448,15),".",INDEX(Ref!A:A,MATCH(N448,Ref!$K$1:$K$333,0))))</f>
        <v/>
      </c>
      <c r="H448" s="181"/>
      <c r="I448" s="183"/>
      <c r="J448" s="181"/>
      <c r="K448" s="181"/>
      <c r="L448" s="182"/>
      <c r="M448" s="182"/>
      <c r="N448" s="183"/>
      <c r="O448" s="182"/>
      <c r="P448" s="182"/>
      <c r="Q448" s="184"/>
      <c r="R448" s="184"/>
      <c r="S448" s="185" t="str">
        <f>IFERROR(CLEAN(INDEX('Risk Matrix'!$H$7:$L$11,MATCH($Q448,'Risk Matrix'!$F$7:$F$11,0),MATCH($R448,'Risk Matrix'!$H$6:$L$6,0))),"")</f>
        <v/>
      </c>
      <c r="T448" s="85" t="str">
        <f>IF(LEFT($B448,7)=RIGHT('SOP template'!$B$1,7),_xlfn.NUMBERVALUE(RIGHT($S448,2)),"")</f>
        <v/>
      </c>
      <c r="U448" s="182"/>
      <c r="V448" s="182"/>
      <c r="W448" s="182"/>
      <c r="X448" s="182"/>
      <c r="Y448" s="182"/>
      <c r="Z448" s="183"/>
      <c r="AA448" s="186" t="str">
        <f>IFERROR(VLOOKUP(IFERROR(LEFT(S448,4),""),Ref!$AF$2:$AG$5,2,0),"")</f>
        <v/>
      </c>
      <c r="AB448" s="146"/>
      <c r="AC448" s="218"/>
      <c r="AD448" s="187" t="str">
        <f>IFERROR(VLOOKUP(AC448,'Training Matrix'!B$4:C$24,2,0),"")</f>
        <v/>
      </c>
      <c r="AE448" s="218"/>
      <c r="AF448" s="188" t="str">
        <f t="shared" si="550"/>
        <v/>
      </c>
      <c r="AG448" s="189" t="str">
        <f t="shared" ca="1" si="551"/>
        <v/>
      </c>
      <c r="AH448" s="50" t="str">
        <f t="shared" ref="AH448" si="628">IF(OR(AC448="",AE448=""),"",CONCATENATE(AC448,"_",K436,"_",L436))</f>
        <v/>
      </c>
    </row>
    <row r="449" spans="1:34" x14ac:dyDescent="0.25">
      <c r="A449" s="5" t="str">
        <f>IF(LEFT(F449,15)='SOP template'!$B$1,1,"")</f>
        <v/>
      </c>
      <c r="B449" s="190" t="str">
        <f t="shared" si="624"/>
        <v>SOP.025.14</v>
      </c>
      <c r="C449" s="190" t="str">
        <f t="shared" si="612"/>
        <v>SOP.025.</v>
      </c>
      <c r="D449" s="190" t="str">
        <f t="shared" si="613"/>
        <v>SOP.025.</v>
      </c>
      <c r="E449" s="190">
        <f t="shared" si="542"/>
        <v>14</v>
      </c>
      <c r="F449" s="190" t="str">
        <f t="shared" si="625"/>
        <v>..SOP.025.01020314</v>
      </c>
      <c r="G449" s="190" t="str">
        <f>IF(ISBLANK(N449),"",CONCATENATE(LEFT(F449,15),".",INDEX(Ref!A:A,MATCH(N449,Ref!$K$1:$K$333,0))))</f>
        <v/>
      </c>
      <c r="H449" s="181"/>
      <c r="I449" s="183"/>
      <c r="J449" s="181"/>
      <c r="K449" s="181"/>
      <c r="L449" s="182"/>
      <c r="M449" s="182"/>
      <c r="N449" s="183"/>
      <c r="O449" s="182"/>
      <c r="P449" s="182"/>
      <c r="Q449" s="184"/>
      <c r="R449" s="184"/>
      <c r="S449" s="185" t="str">
        <f>IFERROR(CLEAN(INDEX('Risk Matrix'!$H$7:$L$11,MATCH($Q449,'Risk Matrix'!$F$7:$F$11,0),MATCH($R449,'Risk Matrix'!$H$6:$L$6,0))),"")</f>
        <v/>
      </c>
      <c r="T449" s="85" t="str">
        <f>IF(LEFT($B449,7)=RIGHT('SOP template'!$B$1,7),_xlfn.NUMBERVALUE(RIGHT($S449,2)),"")</f>
        <v/>
      </c>
      <c r="U449" s="182"/>
      <c r="V449" s="182"/>
      <c r="W449" s="182"/>
      <c r="X449" s="182"/>
      <c r="Y449" s="182"/>
      <c r="Z449" s="183"/>
      <c r="AA449" s="186" t="str">
        <f>IFERROR(VLOOKUP(IFERROR(LEFT(S449,4),""),Ref!$AF$2:$AG$5,2,0),"")</f>
        <v/>
      </c>
      <c r="AB449" s="146"/>
      <c r="AC449" s="218"/>
      <c r="AD449" s="187" t="str">
        <f>IFERROR(VLOOKUP(AC449,'Training Matrix'!B$4:C$24,2,0),"")</f>
        <v/>
      </c>
      <c r="AE449" s="218"/>
      <c r="AF449" s="188" t="str">
        <f t="shared" si="550"/>
        <v/>
      </c>
      <c r="AG449" s="189" t="str">
        <f t="shared" ca="1" si="551"/>
        <v/>
      </c>
      <c r="AH449" s="50" t="str">
        <f t="shared" ref="AH449" si="629">IF(OR(AC449="",AE449=""),"",CONCATENATE(AC449,"_",K436,"_",L436))</f>
        <v/>
      </c>
    </row>
    <row r="450" spans="1:34" x14ac:dyDescent="0.25">
      <c r="A450" s="5" t="str">
        <f>IF(LEFT(F450,15)='SOP template'!$B$1,1,"")</f>
        <v/>
      </c>
      <c r="B450" s="190" t="str">
        <f t="shared" si="624"/>
        <v>SOP.025.15</v>
      </c>
      <c r="C450" s="190" t="str">
        <f t="shared" si="612"/>
        <v>SOP.025.</v>
      </c>
      <c r="D450" s="190" t="str">
        <f t="shared" si="613"/>
        <v>SOP.025.</v>
      </c>
      <c r="E450" s="190">
        <f t="shared" si="542"/>
        <v>15</v>
      </c>
      <c r="F450" s="190" t="str">
        <f t="shared" si="625"/>
        <v>..SOP.025.01020315</v>
      </c>
      <c r="G450" s="190" t="str">
        <f>IF(ISBLANK(N450),"",CONCATENATE(LEFT(F450,15),".",INDEX(Ref!A:A,MATCH(N450,Ref!$K$1:$K$333,0))))</f>
        <v/>
      </c>
      <c r="H450" s="181"/>
      <c r="I450" s="183"/>
      <c r="J450" s="181"/>
      <c r="K450" s="181"/>
      <c r="L450" s="182"/>
      <c r="M450" s="182"/>
      <c r="N450" s="183"/>
      <c r="O450" s="182"/>
      <c r="P450" s="182"/>
      <c r="Q450" s="184"/>
      <c r="R450" s="184"/>
      <c r="S450" s="185" t="str">
        <f>IFERROR(CLEAN(INDEX('Risk Matrix'!$H$7:$L$11,MATCH($Q450,'Risk Matrix'!$F$7:$F$11,0),MATCH($R450,'Risk Matrix'!$H$6:$L$6,0))),"")</f>
        <v/>
      </c>
      <c r="T450" s="85" t="str">
        <f>IF(LEFT($B450,7)=RIGHT('SOP template'!$B$1,7),_xlfn.NUMBERVALUE(RIGHT($S450,2)),"")</f>
        <v/>
      </c>
      <c r="U450" s="182"/>
      <c r="V450" s="182"/>
      <c r="W450" s="182"/>
      <c r="X450" s="182"/>
      <c r="Y450" s="182"/>
      <c r="Z450" s="183"/>
      <c r="AA450" s="186" t="str">
        <f>IFERROR(VLOOKUP(IFERROR(LEFT(S450,4),""),Ref!$AF$2:$AG$5,2,0),"")</f>
        <v/>
      </c>
      <c r="AB450" s="146"/>
      <c r="AC450" s="218"/>
      <c r="AD450" s="187" t="str">
        <f>IFERROR(VLOOKUP(AC450,'Training Matrix'!B$4:C$24,2,0),"")</f>
        <v/>
      </c>
      <c r="AE450" s="218"/>
      <c r="AF450" s="188" t="str">
        <f t="shared" si="550"/>
        <v/>
      </c>
      <c r="AG450" s="189" t="str">
        <f t="shared" ca="1" si="551"/>
        <v/>
      </c>
      <c r="AH450" s="50" t="str">
        <f t="shared" ref="AH450" si="630">IF(OR(AC450="",AE450=""),"",CONCATENATE(AC450,"_",K436,"_",L436))</f>
        <v/>
      </c>
    </row>
    <row r="451" spans="1:34" x14ac:dyDescent="0.25">
      <c r="A451" s="5" t="str">
        <f>IF(LEFT(F451,15)='SOP template'!$B$1,1,"")</f>
        <v/>
      </c>
      <c r="B451" s="190" t="str">
        <f t="shared" si="624"/>
        <v>SOP.025.16</v>
      </c>
      <c r="C451" s="190" t="str">
        <f t="shared" si="612"/>
        <v>SOP.025.</v>
      </c>
      <c r="D451" s="190" t="str">
        <f t="shared" si="613"/>
        <v>SOP.025.</v>
      </c>
      <c r="E451" s="190">
        <f t="shared" si="542"/>
        <v>16</v>
      </c>
      <c r="F451" s="190" t="str">
        <f t="shared" si="625"/>
        <v>..SOP.025.01020316</v>
      </c>
      <c r="G451" s="190" t="str">
        <f>IF(ISBLANK(N451),"",CONCATENATE(LEFT(F451,15),".",INDEX(Ref!A:A,MATCH(N451,Ref!$K$1:$K$333,0))))</f>
        <v/>
      </c>
      <c r="H451" s="181"/>
      <c r="I451" s="183"/>
      <c r="J451" s="181"/>
      <c r="K451" s="181"/>
      <c r="L451" s="182"/>
      <c r="M451" s="182"/>
      <c r="N451" s="183"/>
      <c r="O451" s="182"/>
      <c r="P451" s="182"/>
      <c r="Q451" s="184"/>
      <c r="R451" s="184"/>
      <c r="S451" s="185" t="str">
        <f>IFERROR(CLEAN(INDEX('Risk Matrix'!$H$7:$L$11,MATCH($Q451,'Risk Matrix'!$F$7:$F$11,0),MATCH($R451,'Risk Matrix'!$H$6:$L$6,0))),"")</f>
        <v/>
      </c>
      <c r="T451" s="85" t="str">
        <f>IF(LEFT($B451,7)=RIGHT('SOP template'!$B$1,7),_xlfn.NUMBERVALUE(RIGHT($S451,2)),"")</f>
        <v/>
      </c>
      <c r="U451" s="182"/>
      <c r="V451" s="182"/>
      <c r="W451" s="182"/>
      <c r="X451" s="182"/>
      <c r="Y451" s="182"/>
      <c r="Z451" s="183"/>
      <c r="AA451" s="186" t="str">
        <f>IFERROR(VLOOKUP(IFERROR(LEFT(S451,4),""),Ref!$AF$2:$AG$5,2,0),"")</f>
        <v/>
      </c>
      <c r="AB451" s="146"/>
      <c r="AC451" s="218"/>
      <c r="AD451" s="187" t="str">
        <f>IFERROR(VLOOKUP(AC451,'Training Matrix'!B$4:C$24,2,0),"")</f>
        <v/>
      </c>
      <c r="AE451" s="218"/>
      <c r="AF451" s="188" t="str">
        <f t="shared" si="550"/>
        <v/>
      </c>
      <c r="AG451" s="189" t="str">
        <f t="shared" ca="1" si="551"/>
        <v/>
      </c>
      <c r="AH451" s="50" t="str">
        <f t="shared" ref="AH451" si="631">IF(OR(AC451="",AE451=""),"",CONCATENATE(AC451,"_",K436,"_",L436))</f>
        <v/>
      </c>
    </row>
    <row r="452" spans="1:34" x14ac:dyDescent="0.25">
      <c r="A452" s="5" t="str">
        <f>IF(LEFT(F452,15)='SOP template'!$B$1,1,"")</f>
        <v/>
      </c>
      <c r="B452" s="190" t="str">
        <f t="shared" si="624"/>
        <v>SOP.025.17</v>
      </c>
      <c r="C452" s="190" t="str">
        <f t="shared" si="612"/>
        <v>SOP.025.</v>
      </c>
      <c r="D452" s="190" t="str">
        <f t="shared" si="613"/>
        <v>SOP.025.</v>
      </c>
      <c r="E452" s="190">
        <f t="shared" si="542"/>
        <v>17</v>
      </c>
      <c r="F452" s="190" t="str">
        <f t="shared" si="625"/>
        <v>..SOP.025.01020317</v>
      </c>
      <c r="G452" s="190" t="str">
        <f>IF(ISBLANK(N452),"",CONCATENATE(LEFT(F452,15),".",INDEX(Ref!A:A,MATCH(N452,Ref!$K$1:$K$333,0))))</f>
        <v/>
      </c>
      <c r="H452" s="181"/>
      <c r="I452" s="183"/>
      <c r="J452" s="181"/>
      <c r="K452" s="181"/>
      <c r="L452" s="182"/>
      <c r="M452" s="182"/>
      <c r="N452" s="183"/>
      <c r="O452" s="182"/>
      <c r="P452" s="182"/>
      <c r="Q452" s="184"/>
      <c r="R452" s="184"/>
      <c r="S452" s="185" t="str">
        <f>IFERROR(CLEAN(INDEX('Risk Matrix'!$H$7:$L$11,MATCH($Q452,'Risk Matrix'!$F$7:$F$11,0),MATCH($R452,'Risk Matrix'!$H$6:$L$6,0))),"")</f>
        <v/>
      </c>
      <c r="T452" s="85" t="str">
        <f>IF(LEFT($B452,7)=RIGHT('SOP template'!$B$1,7),_xlfn.NUMBERVALUE(RIGHT($S452,2)),"")</f>
        <v/>
      </c>
      <c r="U452" s="182"/>
      <c r="V452" s="182"/>
      <c r="W452" s="182"/>
      <c r="X452" s="182"/>
      <c r="Y452" s="182"/>
      <c r="Z452" s="183"/>
      <c r="AA452" s="186" t="str">
        <f>IFERROR(VLOOKUP(IFERROR(LEFT(S452,4),""),Ref!$AF$2:$AG$5,2,0),"")</f>
        <v/>
      </c>
      <c r="AB452" s="146"/>
      <c r="AC452" s="218"/>
      <c r="AD452" s="187" t="str">
        <f>IFERROR(VLOOKUP(AC452,'Training Matrix'!B$4:C$24,2,0),"")</f>
        <v/>
      </c>
      <c r="AE452" s="218"/>
      <c r="AF452" s="188" t="str">
        <f t="shared" si="550"/>
        <v/>
      </c>
      <c r="AG452" s="189" t="str">
        <f t="shared" ca="1" si="551"/>
        <v/>
      </c>
      <c r="AH452" s="50" t="str">
        <f t="shared" ref="AH452" si="632">IF(OR(AC452="",AE452=""),"",CONCATENATE(AC452,"_",K436,"_",L436))</f>
        <v/>
      </c>
    </row>
    <row r="453" spans="1:34" x14ac:dyDescent="0.25">
      <c r="A453" s="5" t="str">
        <f>IF(LEFT(F453,15)='SOP template'!$B$1,1,"")</f>
        <v/>
      </c>
      <c r="B453" s="190" t="str">
        <f t="shared" si="624"/>
        <v>SOP.025.18</v>
      </c>
      <c r="C453" s="190" t="str">
        <f t="shared" si="612"/>
        <v>SOP.025.</v>
      </c>
      <c r="D453" s="190" t="str">
        <f t="shared" si="613"/>
        <v>SOP.025.</v>
      </c>
      <c r="E453" s="190">
        <f t="shared" ref="E453:E516" si="633">IF(ISBLANK($K453),$E452+1,1)</f>
        <v>18</v>
      </c>
      <c r="F453" s="190" t="str">
        <f t="shared" si="625"/>
        <v>..SOP.025.01020318</v>
      </c>
      <c r="G453" s="190" t="str">
        <f>IF(ISBLANK(N453),"",CONCATENATE(LEFT(F453,15),".",INDEX(Ref!A:A,MATCH(N453,Ref!$K$1:$K$333,0))))</f>
        <v/>
      </c>
      <c r="H453" s="181"/>
      <c r="I453" s="183"/>
      <c r="J453" s="181"/>
      <c r="K453" s="181"/>
      <c r="L453" s="182"/>
      <c r="M453" s="182"/>
      <c r="N453" s="183"/>
      <c r="O453" s="182"/>
      <c r="P453" s="182"/>
      <c r="Q453" s="184"/>
      <c r="R453" s="184"/>
      <c r="S453" s="185" t="str">
        <f>IFERROR(CLEAN(INDEX('Risk Matrix'!$H$7:$L$11,MATCH($Q453,'Risk Matrix'!$F$7:$F$11,0),MATCH($R453,'Risk Matrix'!$H$6:$L$6,0))),"")</f>
        <v/>
      </c>
      <c r="T453" s="85" t="str">
        <f>IF(LEFT($B453,7)=RIGHT('SOP template'!$B$1,7),_xlfn.NUMBERVALUE(RIGHT($S453,2)),"")</f>
        <v/>
      </c>
      <c r="U453" s="182"/>
      <c r="V453" s="182"/>
      <c r="W453" s="182"/>
      <c r="X453" s="182"/>
      <c r="Y453" s="182"/>
      <c r="Z453" s="183"/>
      <c r="AA453" s="186" t="str">
        <f>IFERROR(VLOOKUP(IFERROR(LEFT(S453,4),""),Ref!$AF$2:$AG$5,2,0),"")</f>
        <v/>
      </c>
      <c r="AB453" s="146"/>
      <c r="AC453" s="218"/>
      <c r="AD453" s="187" t="str">
        <f>IFERROR(VLOOKUP(AC453,'Training Matrix'!B$4:C$24,2,0),"")</f>
        <v/>
      </c>
      <c r="AE453" s="218"/>
      <c r="AF453" s="188" t="str">
        <f t="shared" si="550"/>
        <v/>
      </c>
      <c r="AG453" s="189" t="str">
        <f t="shared" ca="1" si="551"/>
        <v/>
      </c>
      <c r="AH453" s="50" t="str">
        <f t="shared" ref="AH453" si="634">IF(OR(AC453="",AE453=""),"",CONCATENATE(AC453,"_",K436,"_",L436))</f>
        <v/>
      </c>
    </row>
    <row r="454" spans="1:34" x14ac:dyDescent="0.25">
      <c r="A454" s="5" t="str">
        <f>IF(LEFT(F454,15)='SOP template'!$B$1,1,"")</f>
        <v/>
      </c>
      <c r="B454" s="179" t="str">
        <f t="shared" ref="B454" si="635">IF(ISBLANK($K454),CONCATENATE($B$2,".",TEXT(J454,"000"),".",$E454),CONCATENATE(RIGHT($K454,7),".1"))</f>
        <v>SOP.026.1</v>
      </c>
      <c r="C454" s="179" t="str">
        <f>IF(ISBLANK($K454),CONCATENATE(LEFT(#REF!,8),IF($E454=1,1.1,IF($E454=2,1.4,IF($E454=3,2,IF($E454=4,2.4,IF($E454=5,3,IF($E454=6,3.4,IF($E454=7,4,IF($E454=8,4.4,IF($E454=9,5,IF($E454=10,5.4,IF($E454=11,6,IF($E454=12,6.4,""))))))))))))),CONCATENATE(RIGHT($K454,7),".1"))</f>
        <v>SOP.026.1</v>
      </c>
      <c r="D454" s="179" t="str">
        <f>IF(ISBLANK($K454),CONCATENATE(LEFT(#REF!,8),IF($E454=1,1,IF($E454=2,1.3,IF($E454=3,1.5,IF($E454=4,2,IF($E454=5,2.3,IF($E454=6,2.5,IF($E454=7,3,IF($E454=8,3.3,IF($E454=9,3.5,IF($E454=10,4,IF($E454=11,4.3,IF($E454=12,4.5,""))))))))))))),CONCATENATE(RIGHT($K454,7),".1"))</f>
        <v>SOP.026.1</v>
      </c>
      <c r="E454" s="179">
        <f t="shared" si="633"/>
        <v>1</v>
      </c>
      <c r="F454" s="179" t="str">
        <f t="shared" ref="F454" si="636">K454&amp;"."&amp;TEXT(E454,"00")</f>
        <v>..SOP.026.01</v>
      </c>
      <c r="G454" s="179" t="str">
        <f>IF(ISBLANK(N454),"",CONCATENATE(LEFT(F454,15),".",INDEX(Ref!A:A,MATCH(N454,Ref!$K$1:$K$333,0))))</f>
        <v/>
      </c>
      <c r="H454" s="217"/>
      <c r="I454" s="217"/>
      <c r="J454" s="180">
        <v>26</v>
      </c>
      <c r="K454" s="181" t="str">
        <f>IFERROR(CONCATENATE(INDEX(Ref!$Z$2:$Z$8,MATCH(H454,Ref!$AA$2:$AA$8,0)),".",I454,".SOP.",TEXT(J454,"000")),CONCATENATE(H454,".",I454,".SOP.",TEXT(J454,"000")))</f>
        <v>..SOP.026</v>
      </c>
      <c r="L454" s="192"/>
      <c r="M454" s="182"/>
      <c r="N454" s="183"/>
      <c r="O454" s="182"/>
      <c r="P454" s="182"/>
      <c r="Q454" s="184"/>
      <c r="R454" s="184"/>
      <c r="S454" s="185" t="str">
        <f>IFERROR(CLEAN(INDEX('Risk Matrix'!$H$7:$L$11,MATCH($Q454,'Risk Matrix'!$F$7:$F$11,0),MATCH($R454,'Risk Matrix'!$H$6:$L$6,0))),"")</f>
        <v/>
      </c>
      <c r="T454" s="85" t="str">
        <f>IF(LEFT($B454,7)=RIGHT('SOP template'!$B$1,7),_xlfn.NUMBERVALUE(RIGHT($S454,2)),"")</f>
        <v/>
      </c>
      <c r="U454" s="182"/>
      <c r="V454" s="182"/>
      <c r="W454" s="182"/>
      <c r="X454" s="182"/>
      <c r="Y454" s="182"/>
      <c r="Z454" s="182"/>
      <c r="AA454" s="186" t="str">
        <f>IFERROR(VLOOKUP(IFERROR(LEFT(S454,4),""),Ref!$AF$2:$AG$5,2,0),"")</f>
        <v/>
      </c>
      <c r="AB454" s="186">
        <f>MIN($AA454:$AA471)</f>
        <v>0</v>
      </c>
      <c r="AC454" s="218"/>
      <c r="AD454" s="187" t="str">
        <f>IFERROR(VLOOKUP(AC454,'Training Matrix'!B$4:C$24,2,0),"")</f>
        <v/>
      </c>
      <c r="AE454" s="218"/>
      <c r="AF454" s="188" t="str">
        <f t="shared" si="550"/>
        <v/>
      </c>
      <c r="AG454" s="189" t="str">
        <f t="shared" ca="1" si="551"/>
        <v/>
      </c>
      <c r="AH454" s="50" t="str">
        <f t="shared" ref="AH454" si="637">IF(OR(AC454="",AE454=""),"",CONCATENATE(AC454,"_",K454,"_",L454))</f>
        <v/>
      </c>
    </row>
    <row r="455" spans="1:34" x14ac:dyDescent="0.25">
      <c r="A455" s="5" t="str">
        <f>IF(LEFT(F455,15)='SOP template'!$B$1,1,"")</f>
        <v/>
      </c>
      <c r="B455" s="190" t="str">
        <f t="shared" ref="B455:B463" si="638">CONCATENATE(LEFT(B454,8),E455)</f>
        <v>SOP.026.2</v>
      </c>
      <c r="C455" s="190" t="str">
        <f t="shared" ref="C455" si="639">IF(ISBLANK($K455),CONCATENATE(LEFT($B454,8),IF($E455=1,1.1,IF($E455=2,1.4,IF($E455=3,2,IF($E455=4,2.4,IF($E455=5,3,IF($E455=6,3.4,IF($E455=7,4,IF($E455=8,4.4,IF($E455=9,5,IF($E455=10,5.4,IF($E455=11,6,IF($E455=12,6.4,""))))))))))))),CONCATENATE(RIGHT($K455,7),".1"))</f>
        <v>SOP.026.1.4</v>
      </c>
      <c r="D455" s="190" t="str">
        <f t="shared" ref="D455" si="640">IF(ISBLANK($K455),CONCATENATE(LEFT($B454,8),IF($E455=1,1,IF($E455=2,1.3,IF($E455=3,1.5,IF($E455=4,2,IF($E455=5,2.3,IF($E455=6,2.5,IF($E455=7,3,IF($E455=8,3.3,IF($E455=9,3.5,IF($E455=10,4,IF($E455=11,4.3,IF($E455=12,4.5,""))))))))))))),CONCATENATE(RIGHT($K455,7),".1"))</f>
        <v>SOP.026.1.3</v>
      </c>
      <c r="E455" s="190">
        <f t="shared" si="633"/>
        <v>2</v>
      </c>
      <c r="F455" s="190" t="str">
        <f t="shared" ref="F455:F463" si="641">IF(K455=0,LEFT(F454,16)&amp;TEXT(E455,"00"),K455&amp;"."&amp;TEXT(E455,"00"))</f>
        <v>..SOP.026.0102</v>
      </c>
      <c r="G455" s="190" t="str">
        <f>IF(ISBLANK(N455),"",CONCATENATE(LEFT(F455,15),".",INDEX(Ref!A:A,MATCH(N455,Ref!$K$1:$K$333,0))))</f>
        <v/>
      </c>
      <c r="H455" s="181"/>
      <c r="I455" s="183"/>
      <c r="J455" s="181"/>
      <c r="K455" s="181"/>
      <c r="L455" s="182"/>
      <c r="M455" s="182"/>
      <c r="N455" s="183"/>
      <c r="O455" s="182"/>
      <c r="P455" s="182"/>
      <c r="Q455" s="184"/>
      <c r="R455" s="184"/>
      <c r="S455" s="185" t="str">
        <f>IFERROR(CLEAN(INDEX('Risk Matrix'!$H$7:$L$11,MATCH($Q455,'Risk Matrix'!$F$7:$F$11,0),MATCH($R455,'Risk Matrix'!$H$6:$L$6,0))),"")</f>
        <v/>
      </c>
      <c r="T455" s="85" t="str">
        <f>IF(LEFT($B455,7)=RIGHT('SOP template'!$B$1,7),_xlfn.NUMBERVALUE(RIGHT($S455,2)),"")</f>
        <v/>
      </c>
      <c r="U455" s="182"/>
      <c r="V455" s="182"/>
      <c r="W455" s="182"/>
      <c r="X455" s="182"/>
      <c r="Y455" s="182"/>
      <c r="Z455" s="182"/>
      <c r="AA455" s="186" t="str">
        <f>IFERROR(VLOOKUP(IFERROR(LEFT(S455,4),""),Ref!$AF$2:$AG$5,2,0),"")</f>
        <v/>
      </c>
      <c r="AB455" s="146"/>
      <c r="AC455" s="218"/>
      <c r="AD455" s="187" t="str">
        <f>IFERROR(VLOOKUP(AC455,'Training Matrix'!B$4:C$24,2,0),"")</f>
        <v/>
      </c>
      <c r="AE455" s="218"/>
      <c r="AF455" s="188" t="str">
        <f t="shared" si="550"/>
        <v/>
      </c>
      <c r="AG455" s="189" t="str">
        <f t="shared" ca="1" si="551"/>
        <v/>
      </c>
      <c r="AH455" s="50" t="str">
        <f t="shared" ref="AH455" si="642">IF(OR(AC455="",AE455=""),"",CONCATENATE(AC455,"_",K454,"_",L454))</f>
        <v/>
      </c>
    </row>
    <row r="456" spans="1:34" x14ac:dyDescent="0.25">
      <c r="A456" s="5" t="str">
        <f>IF(LEFT(F456,15)='SOP template'!$B$1,1,"")</f>
        <v/>
      </c>
      <c r="B456" s="190" t="str">
        <f t="shared" si="638"/>
        <v>SOP.026.3</v>
      </c>
      <c r="C456" s="190" t="str">
        <f t="shared" si="612"/>
        <v>SOP.026.2</v>
      </c>
      <c r="D456" s="190" t="str">
        <f t="shared" si="613"/>
        <v>SOP.026.1.5</v>
      </c>
      <c r="E456" s="190">
        <f t="shared" si="633"/>
        <v>3</v>
      </c>
      <c r="F456" s="190" t="str">
        <f t="shared" si="641"/>
        <v>..SOP.026.010203</v>
      </c>
      <c r="G456" s="190" t="str">
        <f>IF(ISBLANK(N456),"",CONCATENATE(LEFT(F456,15),".",INDEX(Ref!A:A,MATCH(N456,Ref!$K$1:$K$333,0))))</f>
        <v/>
      </c>
      <c r="H456" s="181"/>
      <c r="I456" s="183"/>
      <c r="J456" s="181"/>
      <c r="K456" s="181"/>
      <c r="L456" s="182"/>
      <c r="M456" s="182"/>
      <c r="N456" s="183"/>
      <c r="O456" s="182"/>
      <c r="P456" s="182"/>
      <c r="Q456" s="184"/>
      <c r="R456" s="184"/>
      <c r="S456" s="185" t="str">
        <f>IFERROR(CLEAN(INDEX('Risk Matrix'!$H$7:$L$11,MATCH($Q456,'Risk Matrix'!$F$7:$F$11,0),MATCH($R456,'Risk Matrix'!$H$6:$L$6,0))),"")</f>
        <v/>
      </c>
      <c r="T456" s="85" t="str">
        <f>IF(LEFT($B456,7)=RIGHT('SOP template'!$B$1,7),_xlfn.NUMBERVALUE(RIGHT($S456,2)),"")</f>
        <v/>
      </c>
      <c r="U456" s="182"/>
      <c r="V456" s="182"/>
      <c r="W456" s="182"/>
      <c r="X456" s="182"/>
      <c r="Y456" s="182"/>
      <c r="Z456" s="182"/>
      <c r="AA456" s="186" t="str">
        <f>IFERROR(VLOOKUP(IFERROR(LEFT(S456,4),""),Ref!$AF$2:$AG$5,2,0),"")</f>
        <v/>
      </c>
      <c r="AB456" s="146"/>
      <c r="AC456" s="218"/>
      <c r="AD456" s="187" t="str">
        <f>IFERROR(VLOOKUP(AC456,'Training Matrix'!B$4:C$24,2,0),"")</f>
        <v/>
      </c>
      <c r="AE456" s="218"/>
      <c r="AF456" s="188" t="str">
        <f t="shared" si="550"/>
        <v/>
      </c>
      <c r="AG456" s="189" t="str">
        <f t="shared" ca="1" si="551"/>
        <v/>
      </c>
      <c r="AH456" s="50" t="str">
        <f t="shared" ref="AH456" si="643">IF(OR(AC456="",AE456=""),"",CONCATENATE(AC456,"_",K454,"_",L454))</f>
        <v/>
      </c>
    </row>
    <row r="457" spans="1:34" x14ac:dyDescent="0.25">
      <c r="A457" s="5" t="str">
        <f>IF(LEFT(F457,15)='SOP template'!$B$1,1,"")</f>
        <v/>
      </c>
      <c r="B457" s="190" t="str">
        <f t="shared" si="638"/>
        <v>SOP.026.4</v>
      </c>
      <c r="C457" s="190" t="str">
        <f t="shared" si="612"/>
        <v>SOP.026.2.4</v>
      </c>
      <c r="D457" s="190" t="str">
        <f t="shared" si="613"/>
        <v>SOP.026.2</v>
      </c>
      <c r="E457" s="190">
        <f t="shared" si="633"/>
        <v>4</v>
      </c>
      <c r="F457" s="190" t="str">
        <f t="shared" si="641"/>
        <v>..SOP.026.01020304</v>
      </c>
      <c r="G457" s="190" t="str">
        <f>IF(ISBLANK(N457),"",CONCATENATE(LEFT(F457,15),".",INDEX(Ref!A:A,MATCH(N457,Ref!$K$1:$K$333,0))))</f>
        <v/>
      </c>
      <c r="H457" s="181"/>
      <c r="I457" s="183"/>
      <c r="J457" s="181"/>
      <c r="K457" s="181"/>
      <c r="L457" s="182"/>
      <c r="M457" s="182"/>
      <c r="N457" s="183"/>
      <c r="O457" s="182"/>
      <c r="P457" s="182"/>
      <c r="Q457" s="184"/>
      <c r="R457" s="184"/>
      <c r="S457" s="185" t="str">
        <f>IFERROR(CLEAN(INDEX('Risk Matrix'!$H$7:$L$11,MATCH($Q457,'Risk Matrix'!$F$7:$F$11,0),MATCH($R457,'Risk Matrix'!$H$6:$L$6,0))),"")</f>
        <v/>
      </c>
      <c r="T457" s="85" t="str">
        <f>IF(LEFT($B457,7)=RIGHT('SOP template'!$B$1,7),_xlfn.NUMBERVALUE(RIGHT($S457,2)),"")</f>
        <v/>
      </c>
      <c r="U457" s="182"/>
      <c r="V457" s="182"/>
      <c r="W457" s="182"/>
      <c r="X457" s="182"/>
      <c r="Y457" s="182"/>
      <c r="Z457" s="183"/>
      <c r="AA457" s="186" t="str">
        <f>IFERROR(VLOOKUP(IFERROR(LEFT(S457,4),""),Ref!$AF$2:$AG$5,2,0),"")</f>
        <v/>
      </c>
      <c r="AB457" s="146"/>
      <c r="AC457" s="218"/>
      <c r="AD457" s="187" t="str">
        <f>IFERROR(VLOOKUP(AC457,'Training Matrix'!B$4:C$24,2,0),"")</f>
        <v/>
      </c>
      <c r="AE457" s="218"/>
      <c r="AF457" s="188" t="str">
        <f t="shared" si="550"/>
        <v/>
      </c>
      <c r="AG457" s="189" t="str">
        <f t="shared" ca="1" si="551"/>
        <v/>
      </c>
      <c r="AH457" s="50" t="str">
        <f t="shared" ref="AH457" si="644">IF(OR(AC457="",AE457=""),"",CONCATENATE(AC457,"_",K454,"_",L454))</f>
        <v/>
      </c>
    </row>
    <row r="458" spans="1:34" x14ac:dyDescent="0.25">
      <c r="A458" s="5" t="str">
        <f>IF(LEFT(F458,15)='SOP template'!$B$1,1,"")</f>
        <v/>
      </c>
      <c r="B458" s="190" t="str">
        <f t="shared" si="638"/>
        <v>SOP.026.5</v>
      </c>
      <c r="C458" s="190" t="str">
        <f t="shared" si="612"/>
        <v>SOP.026.3</v>
      </c>
      <c r="D458" s="190" t="str">
        <f t="shared" si="613"/>
        <v>SOP.026.2.3</v>
      </c>
      <c r="E458" s="190">
        <f t="shared" si="633"/>
        <v>5</v>
      </c>
      <c r="F458" s="190" t="str">
        <f t="shared" si="641"/>
        <v>..SOP.026.01020305</v>
      </c>
      <c r="G458" s="190" t="str">
        <f>IF(ISBLANK(N458),"",CONCATENATE(LEFT(F458,15),".",INDEX(Ref!A:A,MATCH(N458,Ref!$K$1:$K$333,0))))</f>
        <v/>
      </c>
      <c r="H458" s="181"/>
      <c r="I458" s="183"/>
      <c r="J458" s="181"/>
      <c r="K458" s="181"/>
      <c r="L458" s="182"/>
      <c r="M458" s="182"/>
      <c r="N458" s="183"/>
      <c r="O458" s="182"/>
      <c r="P458" s="182"/>
      <c r="Q458" s="184"/>
      <c r="R458" s="184"/>
      <c r="S458" s="185" t="str">
        <f>IFERROR(CLEAN(INDEX('Risk Matrix'!$H$7:$L$11,MATCH($Q458,'Risk Matrix'!$F$7:$F$11,0),MATCH($R458,'Risk Matrix'!$H$6:$L$6,0))),"")</f>
        <v/>
      </c>
      <c r="T458" s="85" t="str">
        <f>IF(LEFT($B458,7)=RIGHT('SOP template'!$B$1,7),_xlfn.NUMBERVALUE(RIGHT($S458,2)),"")</f>
        <v/>
      </c>
      <c r="U458" s="182"/>
      <c r="V458" s="182"/>
      <c r="W458" s="182"/>
      <c r="X458" s="182"/>
      <c r="Y458" s="182"/>
      <c r="Z458" s="183"/>
      <c r="AA458" s="186" t="str">
        <f>IFERROR(VLOOKUP(IFERROR(LEFT(S458,4),""),Ref!$AF$2:$AG$5,2,0),"")</f>
        <v/>
      </c>
      <c r="AB458" s="146"/>
      <c r="AC458" s="218"/>
      <c r="AD458" s="187" t="str">
        <f>IFERROR(VLOOKUP(AC458,'Training Matrix'!B$4:C$24,2,0),"")</f>
        <v/>
      </c>
      <c r="AE458" s="218"/>
      <c r="AF458" s="188" t="str">
        <f t="shared" ref="AF458:AF521" si="645">IF(AE458="","",EDATE(AE458,AB$4))</f>
        <v/>
      </c>
      <c r="AG458" s="189" t="str">
        <f t="shared" ref="AG458:AG521" ca="1" si="646">IF(AE458="","",IF(TODAY()&gt;AF458,"Overdue","Current"))</f>
        <v/>
      </c>
      <c r="AH458" s="50" t="str">
        <f t="shared" ref="AH458" si="647">IF(OR(AC458="",AE458=""),"",CONCATENATE(AC458,"_",K454,"_",L454))</f>
        <v/>
      </c>
    </row>
    <row r="459" spans="1:34" x14ac:dyDescent="0.25">
      <c r="A459" s="5" t="str">
        <f>IF(LEFT(F459,15)='SOP template'!$B$1,1,"")</f>
        <v/>
      </c>
      <c r="B459" s="190" t="str">
        <f t="shared" si="638"/>
        <v>SOP.026.6</v>
      </c>
      <c r="C459" s="190" t="str">
        <f t="shared" si="612"/>
        <v>SOP.026.3.4</v>
      </c>
      <c r="D459" s="190" t="str">
        <f t="shared" si="613"/>
        <v>SOP.026.2.5</v>
      </c>
      <c r="E459" s="190">
        <f t="shared" si="633"/>
        <v>6</v>
      </c>
      <c r="F459" s="190" t="str">
        <f t="shared" si="641"/>
        <v>..SOP.026.01020306</v>
      </c>
      <c r="G459" s="190" t="str">
        <f>IF(ISBLANK(N459),"",CONCATENATE(LEFT(F459,15),".",INDEX(Ref!A:A,MATCH(N459,Ref!$K$1:$K$333,0))))</f>
        <v/>
      </c>
      <c r="H459" s="181"/>
      <c r="I459" s="183"/>
      <c r="J459" s="181"/>
      <c r="K459" s="181"/>
      <c r="L459" s="182"/>
      <c r="M459" s="182"/>
      <c r="N459" s="183"/>
      <c r="O459" s="182"/>
      <c r="P459" s="182"/>
      <c r="Q459" s="184"/>
      <c r="R459" s="184"/>
      <c r="S459" s="185" t="str">
        <f>IFERROR(CLEAN(INDEX('Risk Matrix'!$H$7:$L$11,MATCH($Q459,'Risk Matrix'!$F$7:$F$11,0),MATCH($R459,'Risk Matrix'!$H$6:$L$6,0))),"")</f>
        <v/>
      </c>
      <c r="T459" s="85" t="str">
        <f>IF(LEFT($B459,7)=RIGHT('SOP template'!$B$1,7),_xlfn.NUMBERVALUE(RIGHT($S459,2)),"")</f>
        <v/>
      </c>
      <c r="U459" s="182"/>
      <c r="V459" s="182"/>
      <c r="W459" s="182"/>
      <c r="X459" s="182"/>
      <c r="Y459" s="182"/>
      <c r="Z459" s="183"/>
      <c r="AA459" s="186" t="str">
        <f>IFERROR(VLOOKUP(IFERROR(LEFT(S459,4),""),Ref!$AF$2:$AG$5,2,0),"")</f>
        <v/>
      </c>
      <c r="AB459" s="146"/>
      <c r="AC459" s="218"/>
      <c r="AD459" s="187" t="str">
        <f>IFERROR(VLOOKUP(AC459,'Training Matrix'!B$4:C$24,2,0),"")</f>
        <v/>
      </c>
      <c r="AE459" s="218"/>
      <c r="AF459" s="188" t="str">
        <f t="shared" si="645"/>
        <v/>
      </c>
      <c r="AG459" s="189" t="str">
        <f t="shared" ca="1" si="646"/>
        <v/>
      </c>
      <c r="AH459" s="50" t="str">
        <f t="shared" ref="AH459" si="648">IF(OR(AC459="",AE459=""),"",CONCATENATE(AC459,"_",K454,"_",L454))</f>
        <v/>
      </c>
    </row>
    <row r="460" spans="1:34" x14ac:dyDescent="0.25">
      <c r="A460" s="5" t="str">
        <f>IF(LEFT(F460,15)='SOP template'!$B$1,1,"")</f>
        <v/>
      </c>
      <c r="B460" s="190" t="str">
        <f t="shared" si="638"/>
        <v>SOP.026.7</v>
      </c>
      <c r="C460" s="190" t="str">
        <f t="shared" si="612"/>
        <v>SOP.026.4</v>
      </c>
      <c r="D460" s="190" t="str">
        <f t="shared" si="613"/>
        <v>SOP.026.3</v>
      </c>
      <c r="E460" s="190">
        <f t="shared" si="633"/>
        <v>7</v>
      </c>
      <c r="F460" s="190" t="str">
        <f t="shared" si="641"/>
        <v>..SOP.026.01020307</v>
      </c>
      <c r="G460" s="190" t="str">
        <f>IF(ISBLANK(N460),"",CONCATENATE(LEFT(F460,15),".",INDEX(Ref!A:A,MATCH(N460,Ref!$K$1:$K$333,0))))</f>
        <v/>
      </c>
      <c r="H460" s="181"/>
      <c r="I460" s="183"/>
      <c r="J460" s="181"/>
      <c r="K460" s="181"/>
      <c r="L460" s="182"/>
      <c r="M460" s="182"/>
      <c r="N460" s="183"/>
      <c r="O460" s="182"/>
      <c r="P460" s="182"/>
      <c r="Q460" s="184"/>
      <c r="R460" s="184"/>
      <c r="S460" s="185" t="str">
        <f>IFERROR(CLEAN(INDEX('Risk Matrix'!$H$7:$L$11,MATCH($Q460,'Risk Matrix'!$F$7:$F$11,0),MATCH($R460,'Risk Matrix'!$H$6:$L$6,0))),"")</f>
        <v/>
      </c>
      <c r="T460" s="85" t="str">
        <f>IF(LEFT($B460,7)=RIGHT('SOP template'!$B$1,7),_xlfn.NUMBERVALUE(RIGHT($S460,2)),"")</f>
        <v/>
      </c>
      <c r="U460" s="182"/>
      <c r="V460" s="182"/>
      <c r="W460" s="182"/>
      <c r="X460" s="182"/>
      <c r="Y460" s="182"/>
      <c r="Z460" s="183"/>
      <c r="AA460" s="186" t="str">
        <f>IFERROR(VLOOKUP(IFERROR(LEFT(S460,4),""),Ref!$AF$2:$AG$5,2,0),"")</f>
        <v/>
      </c>
      <c r="AB460" s="146"/>
      <c r="AC460" s="218"/>
      <c r="AD460" s="187" t="str">
        <f>IFERROR(VLOOKUP(AC460,'Training Matrix'!B$4:C$24,2,0),"")</f>
        <v/>
      </c>
      <c r="AE460" s="218"/>
      <c r="AF460" s="188" t="str">
        <f t="shared" si="645"/>
        <v/>
      </c>
      <c r="AG460" s="189" t="str">
        <f t="shared" ca="1" si="646"/>
        <v/>
      </c>
      <c r="AH460" s="50" t="str">
        <f t="shared" ref="AH460" si="649">IF(OR(AC460="",AE460=""),"",CONCATENATE(AC460,"_",K454,"_",L454))</f>
        <v/>
      </c>
    </row>
    <row r="461" spans="1:34" x14ac:dyDescent="0.25">
      <c r="A461" s="5" t="str">
        <f>IF(LEFT(F461,15)='SOP template'!$B$1,1,"")</f>
        <v/>
      </c>
      <c r="B461" s="190" t="str">
        <f t="shared" si="638"/>
        <v>SOP.026.8</v>
      </c>
      <c r="C461" s="190" t="str">
        <f t="shared" si="612"/>
        <v>SOP.026.4.4</v>
      </c>
      <c r="D461" s="190" t="str">
        <f t="shared" si="613"/>
        <v>SOP.026.3.3</v>
      </c>
      <c r="E461" s="190">
        <f t="shared" si="633"/>
        <v>8</v>
      </c>
      <c r="F461" s="190" t="str">
        <f t="shared" si="641"/>
        <v>..SOP.026.01020308</v>
      </c>
      <c r="G461" s="190" t="str">
        <f>IF(ISBLANK(N461),"",CONCATENATE(LEFT(F461,15),".",INDEX(Ref!A:A,MATCH(N461,Ref!$K$1:$K$333,0))))</f>
        <v/>
      </c>
      <c r="H461" s="181"/>
      <c r="I461" s="183"/>
      <c r="J461" s="181"/>
      <c r="K461" s="181"/>
      <c r="L461" s="182"/>
      <c r="M461" s="182"/>
      <c r="N461" s="183"/>
      <c r="O461" s="182"/>
      <c r="P461" s="182"/>
      <c r="Q461" s="184"/>
      <c r="R461" s="184"/>
      <c r="S461" s="185" t="str">
        <f>IFERROR(CLEAN(INDEX('Risk Matrix'!$H$7:$L$11,MATCH($Q461,'Risk Matrix'!$F$7:$F$11,0),MATCH($R461,'Risk Matrix'!$H$6:$L$6,0))),"")</f>
        <v/>
      </c>
      <c r="T461" s="85" t="str">
        <f>IF(LEFT($B461,7)=RIGHT('SOP template'!$B$1,7),_xlfn.NUMBERVALUE(RIGHT($S461,2)),"")</f>
        <v/>
      </c>
      <c r="U461" s="182"/>
      <c r="V461" s="182"/>
      <c r="W461" s="182"/>
      <c r="X461" s="182"/>
      <c r="Y461" s="182"/>
      <c r="Z461" s="183"/>
      <c r="AA461" s="186" t="str">
        <f>IFERROR(VLOOKUP(IFERROR(LEFT(S461,4),""),Ref!$AF$2:$AG$5,2,0),"")</f>
        <v/>
      </c>
      <c r="AB461" s="146"/>
      <c r="AC461" s="218"/>
      <c r="AD461" s="187" t="str">
        <f>IFERROR(VLOOKUP(AC461,'Training Matrix'!B$4:C$24,2,0),"")</f>
        <v/>
      </c>
      <c r="AE461" s="218"/>
      <c r="AF461" s="188" t="str">
        <f t="shared" si="645"/>
        <v/>
      </c>
      <c r="AG461" s="189" t="str">
        <f t="shared" ca="1" si="646"/>
        <v/>
      </c>
      <c r="AH461" s="50" t="str">
        <f t="shared" ref="AH461" si="650">IF(OR(AC461="",AE461=""),"",CONCATENATE(AC461,"_",K454,"_",L454))</f>
        <v/>
      </c>
    </row>
    <row r="462" spans="1:34" x14ac:dyDescent="0.25">
      <c r="A462" s="5" t="str">
        <f>IF(LEFT(F462,15)='SOP template'!$B$1,1,"")</f>
        <v/>
      </c>
      <c r="B462" s="190" t="str">
        <f t="shared" si="638"/>
        <v>SOP.026.9</v>
      </c>
      <c r="C462" s="190" t="str">
        <f t="shared" si="612"/>
        <v>SOP.026.5</v>
      </c>
      <c r="D462" s="190" t="str">
        <f t="shared" si="613"/>
        <v>SOP.026.3.5</v>
      </c>
      <c r="E462" s="190">
        <f t="shared" si="633"/>
        <v>9</v>
      </c>
      <c r="F462" s="190" t="str">
        <f t="shared" si="641"/>
        <v>..SOP.026.01020309</v>
      </c>
      <c r="G462" s="190" t="str">
        <f>IF(ISBLANK(N462),"",CONCATENATE(LEFT(F462,15),".",INDEX(Ref!A:A,MATCH(N462,Ref!$K$1:$K$333,0))))</f>
        <v/>
      </c>
      <c r="H462" s="181"/>
      <c r="I462" s="183"/>
      <c r="J462" s="181"/>
      <c r="K462" s="181"/>
      <c r="L462" s="182"/>
      <c r="M462" s="182"/>
      <c r="N462" s="183"/>
      <c r="O462" s="182"/>
      <c r="P462" s="182"/>
      <c r="Q462" s="184"/>
      <c r="R462" s="184"/>
      <c r="S462" s="185" t="str">
        <f>IFERROR(CLEAN(INDEX('Risk Matrix'!$H$7:$L$11,MATCH($Q462,'Risk Matrix'!$F$7:$F$11,0),MATCH($R462,'Risk Matrix'!$H$6:$L$6,0))),"")</f>
        <v/>
      </c>
      <c r="T462" s="85" t="str">
        <f>IF(LEFT($B462,7)=RIGHT('SOP template'!$B$1,7),_xlfn.NUMBERVALUE(RIGHT($S462,2)),"")</f>
        <v/>
      </c>
      <c r="U462" s="182"/>
      <c r="V462" s="182"/>
      <c r="W462" s="182"/>
      <c r="X462" s="182"/>
      <c r="Y462" s="182"/>
      <c r="Z462" s="183"/>
      <c r="AA462" s="186" t="str">
        <f>IFERROR(VLOOKUP(IFERROR(LEFT(S462,4),""),Ref!$AF$2:$AG$5,2,0),"")</f>
        <v/>
      </c>
      <c r="AB462" s="146"/>
      <c r="AC462" s="218"/>
      <c r="AD462" s="187" t="str">
        <f>IFERROR(VLOOKUP(AC462,'Training Matrix'!B$4:C$24,2,0),"")</f>
        <v/>
      </c>
      <c r="AE462" s="218"/>
      <c r="AF462" s="188" t="str">
        <f t="shared" si="645"/>
        <v/>
      </c>
      <c r="AG462" s="189" t="str">
        <f t="shared" ca="1" si="646"/>
        <v/>
      </c>
      <c r="AH462" s="50" t="str">
        <f t="shared" ref="AH462" si="651">IF(OR(AC462="",AE462=""),"",CONCATENATE(AC462,"_",K454,"_",L454))</f>
        <v/>
      </c>
    </row>
    <row r="463" spans="1:34" x14ac:dyDescent="0.25">
      <c r="A463" s="5" t="str">
        <f>IF(LEFT(F463,15)='SOP template'!$B$1,1,"")</f>
        <v/>
      </c>
      <c r="B463" s="190" t="str">
        <f t="shared" si="638"/>
        <v>SOP.026.10</v>
      </c>
      <c r="C463" s="190" t="str">
        <f t="shared" si="612"/>
        <v>SOP.026.5.4</v>
      </c>
      <c r="D463" s="190" t="str">
        <f t="shared" si="613"/>
        <v>SOP.026.4</v>
      </c>
      <c r="E463" s="190">
        <f t="shared" si="633"/>
        <v>10</v>
      </c>
      <c r="F463" s="190" t="str">
        <f t="shared" si="641"/>
        <v>..SOP.026.01020310</v>
      </c>
      <c r="G463" s="190" t="str">
        <f>IF(ISBLANK(N463),"",CONCATENATE(LEFT(F463,15),".",INDEX(Ref!A:A,MATCH(N463,Ref!$K$1:$K$333,0))))</f>
        <v/>
      </c>
      <c r="H463" s="181"/>
      <c r="I463" s="183"/>
      <c r="J463" s="181"/>
      <c r="K463" s="181"/>
      <c r="L463" s="182"/>
      <c r="M463" s="182"/>
      <c r="N463" s="183"/>
      <c r="O463" s="182"/>
      <c r="P463" s="182"/>
      <c r="Q463" s="184"/>
      <c r="R463" s="184"/>
      <c r="S463" s="185" t="str">
        <f>IFERROR(CLEAN(INDEX('Risk Matrix'!$H$7:$L$11,MATCH($Q463,'Risk Matrix'!$F$7:$F$11,0),MATCH($R463,'Risk Matrix'!$H$6:$L$6,0))),"")</f>
        <v/>
      </c>
      <c r="T463" s="85" t="str">
        <f>IF(LEFT($B463,7)=RIGHT('SOP template'!$B$1,7),_xlfn.NUMBERVALUE(RIGHT($S463,2)),"")</f>
        <v/>
      </c>
      <c r="U463" s="182"/>
      <c r="V463" s="182"/>
      <c r="W463" s="182"/>
      <c r="X463" s="182"/>
      <c r="Y463" s="182"/>
      <c r="Z463" s="183"/>
      <c r="AA463" s="186" t="str">
        <f>IFERROR(VLOOKUP(IFERROR(LEFT(S463,4),""),Ref!$AF$2:$AG$5,2,0),"")</f>
        <v/>
      </c>
      <c r="AB463" s="146"/>
      <c r="AC463" s="218"/>
      <c r="AD463" s="187" t="str">
        <f>IFERROR(VLOOKUP(AC463,'Training Matrix'!B$4:C$24,2,0),"")</f>
        <v/>
      </c>
      <c r="AE463" s="218"/>
      <c r="AF463" s="188" t="str">
        <f t="shared" si="645"/>
        <v/>
      </c>
      <c r="AG463" s="189" t="str">
        <f t="shared" ca="1" si="646"/>
        <v/>
      </c>
      <c r="AH463" s="50" t="str">
        <f t="shared" ref="AH463" si="652">IF(OR(AC463="",AE463=""),"",CONCATENATE(AC463,"_",K454,"_",L454))</f>
        <v/>
      </c>
    </row>
    <row r="464" spans="1:34" x14ac:dyDescent="0.25">
      <c r="A464" s="5" t="str">
        <f>IF(LEFT(F464,15)='SOP template'!$B$1,1,"")</f>
        <v/>
      </c>
      <c r="B464" s="190" t="str">
        <f t="shared" ref="B464:B471" si="653">CONCATENATE(LEFT(B463,8),E464)</f>
        <v>SOP.026.11</v>
      </c>
      <c r="C464" s="190" t="str">
        <f t="shared" si="612"/>
        <v>SOP.026.6</v>
      </c>
      <c r="D464" s="190" t="str">
        <f t="shared" si="613"/>
        <v>SOP.026.4.3</v>
      </c>
      <c r="E464" s="190">
        <f t="shared" si="633"/>
        <v>11</v>
      </c>
      <c r="F464" s="190" t="str">
        <f t="shared" ref="F464:F471" si="654">IF(K464=0,LEFT(F463,16)&amp;TEXT(E464,"00"),K464&amp;"."&amp;TEXT(E464,"00"))</f>
        <v>..SOP.026.01020311</v>
      </c>
      <c r="G464" s="190" t="str">
        <f>IF(ISBLANK(N464),"",CONCATENATE(LEFT(F464,15),".",INDEX(Ref!A:A,MATCH(N464,Ref!$K$1:$K$333,0))))</f>
        <v/>
      </c>
      <c r="H464" s="181"/>
      <c r="I464" s="183"/>
      <c r="J464" s="181"/>
      <c r="K464" s="181"/>
      <c r="L464" s="182"/>
      <c r="M464" s="182"/>
      <c r="N464" s="183"/>
      <c r="O464" s="182"/>
      <c r="P464" s="182"/>
      <c r="Q464" s="184"/>
      <c r="R464" s="184"/>
      <c r="S464" s="185" t="str">
        <f>IFERROR(CLEAN(INDEX('Risk Matrix'!$H$7:$L$11,MATCH($Q464,'Risk Matrix'!$F$7:$F$11,0),MATCH($R464,'Risk Matrix'!$H$6:$L$6,0))),"")</f>
        <v/>
      </c>
      <c r="T464" s="85" t="str">
        <f>IF(LEFT($B464,7)=RIGHT('SOP template'!$B$1,7),_xlfn.NUMBERVALUE(RIGHT($S464,2)),"")</f>
        <v/>
      </c>
      <c r="U464" s="182"/>
      <c r="V464" s="182"/>
      <c r="W464" s="182"/>
      <c r="X464" s="182"/>
      <c r="Y464" s="182"/>
      <c r="Z464" s="183"/>
      <c r="AA464" s="186" t="str">
        <f>IFERROR(VLOOKUP(IFERROR(LEFT(S464,4),""),Ref!$AF$2:$AG$5,2,0),"")</f>
        <v/>
      </c>
      <c r="AB464" s="146"/>
      <c r="AC464" s="218"/>
      <c r="AD464" s="187" t="str">
        <f>IFERROR(VLOOKUP(AC464,'Training Matrix'!B$4:C$24,2,0),"")</f>
        <v/>
      </c>
      <c r="AE464" s="218"/>
      <c r="AF464" s="188" t="str">
        <f t="shared" si="645"/>
        <v/>
      </c>
      <c r="AG464" s="189" t="str">
        <f t="shared" ca="1" si="646"/>
        <v/>
      </c>
      <c r="AH464" s="50" t="str">
        <f t="shared" ref="AH464" si="655">IF(OR(AC464="",AE464=""),"",CONCATENATE(AC464,"_",K454,"_",L454))</f>
        <v/>
      </c>
    </row>
    <row r="465" spans="1:34" x14ac:dyDescent="0.25">
      <c r="A465" s="5" t="str">
        <f>IF(LEFT(F465,15)='SOP template'!$B$1,1,"")</f>
        <v/>
      </c>
      <c r="B465" s="190" t="str">
        <f t="shared" si="653"/>
        <v>SOP.026.12</v>
      </c>
      <c r="C465" s="190" t="str">
        <f t="shared" si="612"/>
        <v>SOP.026.6.4</v>
      </c>
      <c r="D465" s="190" t="str">
        <f t="shared" si="613"/>
        <v>SOP.026.4.5</v>
      </c>
      <c r="E465" s="190">
        <f t="shared" si="633"/>
        <v>12</v>
      </c>
      <c r="F465" s="190" t="str">
        <f t="shared" si="654"/>
        <v>..SOP.026.01020312</v>
      </c>
      <c r="G465" s="190" t="str">
        <f>IF(ISBLANK(N465),"",CONCATENATE(LEFT(F465,15),".",INDEX(Ref!A:A,MATCH(N465,Ref!$K$1:$K$333,0))))</f>
        <v/>
      </c>
      <c r="H465" s="181"/>
      <c r="I465" s="183"/>
      <c r="J465" s="181"/>
      <c r="K465" s="181"/>
      <c r="L465" s="182"/>
      <c r="M465" s="182"/>
      <c r="N465" s="183"/>
      <c r="O465" s="182"/>
      <c r="P465" s="182"/>
      <c r="Q465" s="184"/>
      <c r="R465" s="184"/>
      <c r="S465" s="185" t="str">
        <f>IFERROR(CLEAN(INDEX('Risk Matrix'!$H$7:$L$11,MATCH($Q465,'Risk Matrix'!$F$7:$F$11,0),MATCH($R465,'Risk Matrix'!$H$6:$L$6,0))),"")</f>
        <v/>
      </c>
      <c r="T465" s="85" t="str">
        <f>IF(LEFT($B465,7)=RIGHT('SOP template'!$B$1,7),_xlfn.NUMBERVALUE(RIGHT($S465,2)),"")</f>
        <v/>
      </c>
      <c r="U465" s="182"/>
      <c r="V465" s="182"/>
      <c r="W465" s="182"/>
      <c r="X465" s="182"/>
      <c r="Y465" s="182"/>
      <c r="Z465" s="183"/>
      <c r="AA465" s="186" t="str">
        <f>IFERROR(VLOOKUP(IFERROR(LEFT(S465,4),""),Ref!$AF$2:$AG$5,2,0),"")</f>
        <v/>
      </c>
      <c r="AB465" s="146"/>
      <c r="AC465" s="218"/>
      <c r="AD465" s="187" t="str">
        <f>IFERROR(VLOOKUP(AC465,'Training Matrix'!B$4:C$24,2,0),"")</f>
        <v/>
      </c>
      <c r="AE465" s="218"/>
      <c r="AF465" s="188" t="str">
        <f t="shared" si="645"/>
        <v/>
      </c>
      <c r="AG465" s="189" t="str">
        <f t="shared" ca="1" si="646"/>
        <v/>
      </c>
      <c r="AH465" s="50" t="str">
        <f t="shared" ref="AH465" si="656">IF(OR(AC465="",AE465=""),"",CONCATENATE(AC465,"_",K454,"_",L454))</f>
        <v/>
      </c>
    </row>
    <row r="466" spans="1:34" x14ac:dyDescent="0.25">
      <c r="A466" s="5" t="str">
        <f>IF(LEFT(F466,15)='SOP template'!$B$1,1,"")</f>
        <v/>
      </c>
      <c r="B466" s="190" t="str">
        <f t="shared" si="653"/>
        <v>SOP.026.13</v>
      </c>
      <c r="C466" s="190" t="str">
        <f t="shared" si="612"/>
        <v>SOP.026.</v>
      </c>
      <c r="D466" s="190" t="str">
        <f t="shared" si="613"/>
        <v>SOP.026.</v>
      </c>
      <c r="E466" s="190">
        <f t="shared" si="633"/>
        <v>13</v>
      </c>
      <c r="F466" s="190" t="str">
        <f t="shared" si="654"/>
        <v>..SOP.026.01020313</v>
      </c>
      <c r="G466" s="190" t="str">
        <f>IF(ISBLANK(N466),"",CONCATENATE(LEFT(F466,15),".",INDEX(Ref!A:A,MATCH(N466,Ref!$K$1:$K$333,0))))</f>
        <v/>
      </c>
      <c r="H466" s="181"/>
      <c r="I466" s="183"/>
      <c r="J466" s="181"/>
      <c r="K466" s="181"/>
      <c r="L466" s="182"/>
      <c r="M466" s="182"/>
      <c r="N466" s="183"/>
      <c r="O466" s="182"/>
      <c r="P466" s="182"/>
      <c r="Q466" s="184"/>
      <c r="R466" s="184"/>
      <c r="S466" s="185" t="str">
        <f>IFERROR(CLEAN(INDEX('Risk Matrix'!$H$7:$L$11,MATCH($Q466,'Risk Matrix'!$F$7:$F$11,0),MATCH($R466,'Risk Matrix'!$H$6:$L$6,0))),"")</f>
        <v/>
      </c>
      <c r="T466" s="85" t="str">
        <f>IF(LEFT($B466,7)=RIGHT('SOP template'!$B$1,7),_xlfn.NUMBERVALUE(RIGHT($S466,2)),"")</f>
        <v/>
      </c>
      <c r="U466" s="182"/>
      <c r="V466" s="182"/>
      <c r="W466" s="182"/>
      <c r="X466" s="182"/>
      <c r="Y466" s="182"/>
      <c r="Z466" s="183"/>
      <c r="AA466" s="186" t="str">
        <f>IFERROR(VLOOKUP(IFERROR(LEFT(S466,4),""),Ref!$AF$2:$AG$5,2,0),"")</f>
        <v/>
      </c>
      <c r="AB466" s="146"/>
      <c r="AC466" s="218"/>
      <c r="AD466" s="187" t="str">
        <f>IFERROR(VLOOKUP(AC466,'Training Matrix'!B$4:C$24,2,0),"")</f>
        <v/>
      </c>
      <c r="AE466" s="218"/>
      <c r="AF466" s="188" t="str">
        <f t="shared" si="645"/>
        <v/>
      </c>
      <c r="AG466" s="189" t="str">
        <f t="shared" ca="1" si="646"/>
        <v/>
      </c>
      <c r="AH466" s="50" t="str">
        <f t="shared" ref="AH466" si="657">IF(OR(AC466="",AE466=""),"",CONCATENATE(AC466,"_",K454,"_",L454))</f>
        <v/>
      </c>
    </row>
    <row r="467" spans="1:34" x14ac:dyDescent="0.25">
      <c r="A467" s="5" t="str">
        <f>IF(LEFT(F467,15)='SOP template'!$B$1,1,"")</f>
        <v/>
      </c>
      <c r="B467" s="190" t="str">
        <f t="shared" si="653"/>
        <v>SOP.026.14</v>
      </c>
      <c r="C467" s="190" t="str">
        <f t="shared" si="612"/>
        <v>SOP.026.</v>
      </c>
      <c r="D467" s="190" t="str">
        <f t="shared" si="613"/>
        <v>SOP.026.</v>
      </c>
      <c r="E467" s="190">
        <f t="shared" si="633"/>
        <v>14</v>
      </c>
      <c r="F467" s="190" t="str">
        <f t="shared" si="654"/>
        <v>..SOP.026.01020314</v>
      </c>
      <c r="G467" s="190" t="str">
        <f>IF(ISBLANK(N467),"",CONCATENATE(LEFT(F467,15),".",INDEX(Ref!A:A,MATCH(N467,Ref!$K$1:$K$333,0))))</f>
        <v/>
      </c>
      <c r="H467" s="181"/>
      <c r="I467" s="183"/>
      <c r="J467" s="181"/>
      <c r="K467" s="181"/>
      <c r="L467" s="182"/>
      <c r="M467" s="182"/>
      <c r="N467" s="183"/>
      <c r="O467" s="182"/>
      <c r="P467" s="182"/>
      <c r="Q467" s="184"/>
      <c r="R467" s="184"/>
      <c r="S467" s="185" t="str">
        <f>IFERROR(CLEAN(INDEX('Risk Matrix'!$H$7:$L$11,MATCH($Q467,'Risk Matrix'!$F$7:$F$11,0),MATCH($R467,'Risk Matrix'!$H$6:$L$6,0))),"")</f>
        <v/>
      </c>
      <c r="T467" s="85" t="str">
        <f>IF(LEFT($B467,7)=RIGHT('SOP template'!$B$1,7),_xlfn.NUMBERVALUE(RIGHT($S467,2)),"")</f>
        <v/>
      </c>
      <c r="U467" s="182"/>
      <c r="V467" s="182"/>
      <c r="W467" s="182"/>
      <c r="X467" s="182"/>
      <c r="Y467" s="182"/>
      <c r="Z467" s="183"/>
      <c r="AA467" s="186" t="str">
        <f>IFERROR(VLOOKUP(IFERROR(LEFT(S467,4),""),Ref!$AF$2:$AG$5,2,0),"")</f>
        <v/>
      </c>
      <c r="AB467" s="146"/>
      <c r="AC467" s="218"/>
      <c r="AD467" s="187" t="str">
        <f>IFERROR(VLOOKUP(AC467,'Training Matrix'!B$4:C$24,2,0),"")</f>
        <v/>
      </c>
      <c r="AE467" s="218"/>
      <c r="AF467" s="188" t="str">
        <f t="shared" si="645"/>
        <v/>
      </c>
      <c r="AG467" s="189" t="str">
        <f t="shared" ca="1" si="646"/>
        <v/>
      </c>
      <c r="AH467" s="50" t="str">
        <f t="shared" ref="AH467" si="658">IF(OR(AC467="",AE467=""),"",CONCATENATE(AC467,"_",K454,"_",L454))</f>
        <v/>
      </c>
    </row>
    <row r="468" spans="1:34" x14ac:dyDescent="0.25">
      <c r="A468" s="5" t="str">
        <f>IF(LEFT(F468,15)='SOP template'!$B$1,1,"")</f>
        <v/>
      </c>
      <c r="B468" s="190" t="str">
        <f t="shared" si="653"/>
        <v>SOP.026.15</v>
      </c>
      <c r="C468" s="190" t="str">
        <f t="shared" si="612"/>
        <v>SOP.026.</v>
      </c>
      <c r="D468" s="190" t="str">
        <f t="shared" si="613"/>
        <v>SOP.026.</v>
      </c>
      <c r="E468" s="190">
        <f t="shared" si="633"/>
        <v>15</v>
      </c>
      <c r="F468" s="190" t="str">
        <f t="shared" si="654"/>
        <v>..SOP.026.01020315</v>
      </c>
      <c r="G468" s="190" t="str">
        <f>IF(ISBLANK(N468),"",CONCATENATE(LEFT(F468,15),".",INDEX(Ref!A:A,MATCH(N468,Ref!$K$1:$K$333,0))))</f>
        <v/>
      </c>
      <c r="H468" s="181"/>
      <c r="I468" s="183"/>
      <c r="J468" s="181"/>
      <c r="K468" s="181"/>
      <c r="L468" s="182"/>
      <c r="M468" s="182"/>
      <c r="N468" s="183"/>
      <c r="O468" s="182"/>
      <c r="P468" s="182"/>
      <c r="Q468" s="184"/>
      <c r="R468" s="184"/>
      <c r="S468" s="185" t="str">
        <f>IFERROR(CLEAN(INDEX('Risk Matrix'!$H$7:$L$11,MATCH($Q468,'Risk Matrix'!$F$7:$F$11,0),MATCH($R468,'Risk Matrix'!$H$6:$L$6,0))),"")</f>
        <v/>
      </c>
      <c r="T468" s="85" t="str">
        <f>IF(LEFT($B468,7)=RIGHT('SOP template'!$B$1,7),_xlfn.NUMBERVALUE(RIGHT($S468,2)),"")</f>
        <v/>
      </c>
      <c r="U468" s="182"/>
      <c r="V468" s="182"/>
      <c r="W468" s="182"/>
      <c r="X468" s="182"/>
      <c r="Y468" s="182"/>
      <c r="Z468" s="183"/>
      <c r="AA468" s="186" t="str">
        <f>IFERROR(VLOOKUP(IFERROR(LEFT(S468,4),""),Ref!$AF$2:$AG$5,2,0),"")</f>
        <v/>
      </c>
      <c r="AB468" s="146"/>
      <c r="AC468" s="218"/>
      <c r="AD468" s="187" t="str">
        <f>IFERROR(VLOOKUP(AC468,'Training Matrix'!B$4:C$24,2,0),"")</f>
        <v/>
      </c>
      <c r="AE468" s="218"/>
      <c r="AF468" s="188" t="str">
        <f t="shared" si="645"/>
        <v/>
      </c>
      <c r="AG468" s="189" t="str">
        <f t="shared" ca="1" si="646"/>
        <v/>
      </c>
      <c r="AH468" s="50" t="str">
        <f t="shared" ref="AH468" si="659">IF(OR(AC468="",AE468=""),"",CONCATENATE(AC468,"_",K454,"_",L454))</f>
        <v/>
      </c>
    </row>
    <row r="469" spans="1:34" x14ac:dyDescent="0.25">
      <c r="A469" s="5" t="str">
        <f>IF(LEFT(F469,15)='SOP template'!$B$1,1,"")</f>
        <v/>
      </c>
      <c r="B469" s="190" t="str">
        <f t="shared" si="653"/>
        <v>SOP.026.16</v>
      </c>
      <c r="C469" s="190" t="str">
        <f t="shared" si="612"/>
        <v>SOP.026.</v>
      </c>
      <c r="D469" s="190" t="str">
        <f t="shared" si="613"/>
        <v>SOP.026.</v>
      </c>
      <c r="E469" s="190">
        <f t="shared" si="633"/>
        <v>16</v>
      </c>
      <c r="F469" s="190" t="str">
        <f t="shared" si="654"/>
        <v>..SOP.026.01020316</v>
      </c>
      <c r="G469" s="190" t="str">
        <f>IF(ISBLANK(N469),"",CONCATENATE(LEFT(F469,15),".",INDEX(Ref!A:A,MATCH(N469,Ref!$K$1:$K$333,0))))</f>
        <v/>
      </c>
      <c r="H469" s="181"/>
      <c r="I469" s="183"/>
      <c r="J469" s="181"/>
      <c r="K469" s="181"/>
      <c r="L469" s="182"/>
      <c r="M469" s="182"/>
      <c r="N469" s="183"/>
      <c r="O469" s="182"/>
      <c r="P469" s="182"/>
      <c r="Q469" s="184"/>
      <c r="R469" s="184"/>
      <c r="S469" s="185" t="str">
        <f>IFERROR(CLEAN(INDEX('Risk Matrix'!$H$7:$L$11,MATCH($Q469,'Risk Matrix'!$F$7:$F$11,0),MATCH($R469,'Risk Matrix'!$H$6:$L$6,0))),"")</f>
        <v/>
      </c>
      <c r="T469" s="85" t="str">
        <f>IF(LEFT($B469,7)=RIGHT('SOP template'!$B$1,7),_xlfn.NUMBERVALUE(RIGHT($S469,2)),"")</f>
        <v/>
      </c>
      <c r="U469" s="182"/>
      <c r="V469" s="182"/>
      <c r="W469" s="182"/>
      <c r="X469" s="182"/>
      <c r="Y469" s="182"/>
      <c r="Z469" s="183"/>
      <c r="AA469" s="186" t="str">
        <f>IFERROR(VLOOKUP(IFERROR(LEFT(S469,4),""),Ref!$AF$2:$AG$5,2,0),"")</f>
        <v/>
      </c>
      <c r="AB469" s="146"/>
      <c r="AC469" s="218"/>
      <c r="AD469" s="187" t="str">
        <f>IFERROR(VLOOKUP(AC469,'Training Matrix'!B$4:C$24,2,0),"")</f>
        <v/>
      </c>
      <c r="AE469" s="218"/>
      <c r="AF469" s="188" t="str">
        <f t="shared" si="645"/>
        <v/>
      </c>
      <c r="AG469" s="189" t="str">
        <f t="shared" ca="1" si="646"/>
        <v/>
      </c>
      <c r="AH469" s="50" t="str">
        <f t="shared" ref="AH469" si="660">IF(OR(AC469="",AE469=""),"",CONCATENATE(AC469,"_",K454,"_",L454))</f>
        <v/>
      </c>
    </row>
    <row r="470" spans="1:34" x14ac:dyDescent="0.25">
      <c r="A470" s="5" t="str">
        <f>IF(LEFT(F470,15)='SOP template'!$B$1,1,"")</f>
        <v/>
      </c>
      <c r="B470" s="190" t="str">
        <f t="shared" si="653"/>
        <v>SOP.026.17</v>
      </c>
      <c r="C470" s="190" t="str">
        <f t="shared" si="612"/>
        <v>SOP.026.</v>
      </c>
      <c r="D470" s="190" t="str">
        <f t="shared" si="613"/>
        <v>SOP.026.</v>
      </c>
      <c r="E470" s="190">
        <f t="shared" si="633"/>
        <v>17</v>
      </c>
      <c r="F470" s="190" t="str">
        <f t="shared" si="654"/>
        <v>..SOP.026.01020317</v>
      </c>
      <c r="G470" s="190" t="str">
        <f>IF(ISBLANK(N470),"",CONCATENATE(LEFT(F470,15),".",INDEX(Ref!A:A,MATCH(N470,Ref!$K$1:$K$333,0))))</f>
        <v/>
      </c>
      <c r="H470" s="181"/>
      <c r="I470" s="183"/>
      <c r="J470" s="181"/>
      <c r="K470" s="181"/>
      <c r="L470" s="182"/>
      <c r="M470" s="182"/>
      <c r="N470" s="183"/>
      <c r="O470" s="182"/>
      <c r="P470" s="182"/>
      <c r="Q470" s="184"/>
      <c r="R470" s="184"/>
      <c r="S470" s="185" t="str">
        <f>IFERROR(CLEAN(INDEX('Risk Matrix'!$H$7:$L$11,MATCH($Q470,'Risk Matrix'!$F$7:$F$11,0),MATCH($R470,'Risk Matrix'!$H$6:$L$6,0))),"")</f>
        <v/>
      </c>
      <c r="T470" s="85" t="str">
        <f>IF(LEFT($B470,7)=RIGHT('SOP template'!$B$1,7),_xlfn.NUMBERVALUE(RIGHT($S470,2)),"")</f>
        <v/>
      </c>
      <c r="U470" s="182"/>
      <c r="V470" s="182"/>
      <c r="W470" s="182"/>
      <c r="X470" s="182"/>
      <c r="Y470" s="182"/>
      <c r="Z470" s="183"/>
      <c r="AA470" s="186" t="str">
        <f>IFERROR(VLOOKUP(IFERROR(LEFT(S470,4),""),Ref!$AF$2:$AG$5,2,0),"")</f>
        <v/>
      </c>
      <c r="AB470" s="146"/>
      <c r="AC470" s="218"/>
      <c r="AD470" s="187" t="str">
        <f>IFERROR(VLOOKUP(AC470,'Training Matrix'!B$4:C$24,2,0),"")</f>
        <v/>
      </c>
      <c r="AE470" s="218"/>
      <c r="AF470" s="188" t="str">
        <f t="shared" si="645"/>
        <v/>
      </c>
      <c r="AG470" s="189" t="str">
        <f t="shared" ca="1" si="646"/>
        <v/>
      </c>
      <c r="AH470" s="50" t="str">
        <f t="shared" ref="AH470" si="661">IF(OR(AC470="",AE470=""),"",CONCATENATE(AC470,"_",K454,"_",L454))</f>
        <v/>
      </c>
    </row>
    <row r="471" spans="1:34" x14ac:dyDescent="0.25">
      <c r="A471" s="5" t="str">
        <f>IF(LEFT(F471,15)='SOP template'!$B$1,1,"")</f>
        <v/>
      </c>
      <c r="B471" s="190" t="str">
        <f t="shared" si="653"/>
        <v>SOP.026.18</v>
      </c>
      <c r="C471" s="190" t="str">
        <f t="shared" si="612"/>
        <v>SOP.026.</v>
      </c>
      <c r="D471" s="190" t="str">
        <f t="shared" si="613"/>
        <v>SOP.026.</v>
      </c>
      <c r="E471" s="190">
        <f t="shared" si="633"/>
        <v>18</v>
      </c>
      <c r="F471" s="190" t="str">
        <f t="shared" si="654"/>
        <v>..SOP.026.01020318</v>
      </c>
      <c r="G471" s="190" t="str">
        <f>IF(ISBLANK(N471),"",CONCATENATE(LEFT(F471,15),".",INDEX(Ref!A:A,MATCH(N471,Ref!$K$1:$K$333,0))))</f>
        <v/>
      </c>
      <c r="H471" s="181"/>
      <c r="I471" s="183"/>
      <c r="J471" s="181"/>
      <c r="K471" s="181"/>
      <c r="L471" s="182"/>
      <c r="M471" s="182"/>
      <c r="N471" s="183"/>
      <c r="O471" s="182"/>
      <c r="P471" s="182"/>
      <c r="Q471" s="184"/>
      <c r="R471" s="184"/>
      <c r="S471" s="185" t="str">
        <f>IFERROR(CLEAN(INDEX('Risk Matrix'!$H$7:$L$11,MATCH($Q471,'Risk Matrix'!$F$7:$F$11,0),MATCH($R471,'Risk Matrix'!$H$6:$L$6,0))),"")</f>
        <v/>
      </c>
      <c r="T471" s="85" t="str">
        <f>IF(LEFT($B471,7)=RIGHT('SOP template'!$B$1,7),_xlfn.NUMBERVALUE(RIGHT($S471,2)),"")</f>
        <v/>
      </c>
      <c r="U471" s="182"/>
      <c r="V471" s="182"/>
      <c r="W471" s="182"/>
      <c r="X471" s="182"/>
      <c r="Y471" s="182"/>
      <c r="Z471" s="183"/>
      <c r="AA471" s="186" t="str">
        <f>IFERROR(VLOOKUP(IFERROR(LEFT(S471,4),""),Ref!$AF$2:$AG$5,2,0),"")</f>
        <v/>
      </c>
      <c r="AB471" s="146"/>
      <c r="AC471" s="218"/>
      <c r="AD471" s="187" t="str">
        <f>IFERROR(VLOOKUP(AC471,'Training Matrix'!B$4:C$24,2,0),"")</f>
        <v/>
      </c>
      <c r="AE471" s="218"/>
      <c r="AF471" s="188" t="str">
        <f t="shared" si="645"/>
        <v/>
      </c>
      <c r="AG471" s="189" t="str">
        <f t="shared" ca="1" si="646"/>
        <v/>
      </c>
      <c r="AH471" s="50" t="str">
        <f t="shared" ref="AH471" si="662">IF(OR(AC471="",AE471=""),"",CONCATENATE(AC471,"_",K454,"_",L454))</f>
        <v/>
      </c>
    </row>
    <row r="472" spans="1:34" x14ac:dyDescent="0.25">
      <c r="A472" s="5" t="str">
        <f>IF(LEFT(F472,15)='SOP template'!$B$1,1,"")</f>
        <v/>
      </c>
      <c r="B472" s="179" t="str">
        <f t="shared" ref="B472" si="663">IF(ISBLANK($K472),CONCATENATE($B$2,".",TEXT(J472,"000"),".",$E472),CONCATENATE(RIGHT($K472,7),".1"))</f>
        <v>SOP.027.1</v>
      </c>
      <c r="C472" s="179" t="str">
        <f>IF(ISBLANK($K472),CONCATENATE(LEFT(#REF!,8),IF($E472=1,1.1,IF($E472=2,1.4,IF($E472=3,2,IF($E472=4,2.4,IF($E472=5,3,IF($E472=6,3.4,IF($E472=7,4,IF($E472=8,4.4,IF($E472=9,5,IF($E472=10,5.4,IF($E472=11,6,IF($E472=12,6.4,""))))))))))))),CONCATENATE(RIGHT($K472,7),".1"))</f>
        <v>SOP.027.1</v>
      </c>
      <c r="D472" s="179" t="str">
        <f>IF(ISBLANK($K472),CONCATENATE(LEFT(#REF!,8),IF($E472=1,1,IF($E472=2,1.3,IF($E472=3,1.5,IF($E472=4,2,IF($E472=5,2.3,IF($E472=6,2.5,IF($E472=7,3,IF($E472=8,3.3,IF($E472=9,3.5,IF($E472=10,4,IF($E472=11,4.3,IF($E472=12,4.5,""))))))))))))),CONCATENATE(RIGHT($K472,7),".1"))</f>
        <v>SOP.027.1</v>
      </c>
      <c r="E472" s="179">
        <f t="shared" si="633"/>
        <v>1</v>
      </c>
      <c r="F472" s="179" t="str">
        <f t="shared" ref="F472" si="664">K472&amp;"."&amp;TEXT(E472,"00")</f>
        <v>..SOP.027.01</v>
      </c>
      <c r="G472" s="179" t="str">
        <f>IF(ISBLANK(N472),"",CONCATENATE(LEFT(F472,15),".",INDEX(Ref!A:A,MATCH(N472,Ref!$K$1:$K$333,0))))</f>
        <v/>
      </c>
      <c r="H472" s="217"/>
      <c r="I472" s="217"/>
      <c r="J472" s="180">
        <v>27</v>
      </c>
      <c r="K472" s="181" t="str">
        <f>IFERROR(CONCATENATE(INDEX(Ref!$Z$2:$Z$8,MATCH(H472,Ref!$AA$2:$AA$8,0)),".",I472,".SOP.",TEXT(J472,"000")),CONCATENATE(H472,".",I472,".SOP.",TEXT(J472,"000")))</f>
        <v>..SOP.027</v>
      </c>
      <c r="L472" s="192"/>
      <c r="M472" s="182"/>
      <c r="N472" s="183"/>
      <c r="O472" s="182"/>
      <c r="P472" s="182"/>
      <c r="Q472" s="184"/>
      <c r="R472" s="184"/>
      <c r="S472" s="185" t="str">
        <f>IFERROR(CLEAN(INDEX('Risk Matrix'!$H$7:$L$11,MATCH($Q472,'Risk Matrix'!$F$7:$F$11,0),MATCH($R472,'Risk Matrix'!$H$6:$L$6,0))),"")</f>
        <v/>
      </c>
      <c r="T472" s="85" t="str">
        <f>IF(LEFT($B472,7)=RIGHT('SOP template'!$B$1,7),_xlfn.NUMBERVALUE(RIGHT($S472,2)),"")</f>
        <v/>
      </c>
      <c r="U472" s="182"/>
      <c r="V472" s="182"/>
      <c r="W472" s="182"/>
      <c r="X472" s="182"/>
      <c r="Y472" s="182"/>
      <c r="Z472" s="182"/>
      <c r="AA472" s="186" t="str">
        <f>IFERROR(VLOOKUP(IFERROR(LEFT(S472,4),""),Ref!$AF$2:$AG$5,2,0),"")</f>
        <v/>
      </c>
      <c r="AB472" s="186">
        <f>MIN($AA472:$AA489)</f>
        <v>0</v>
      </c>
      <c r="AC472" s="218"/>
      <c r="AD472" s="187" t="str">
        <f>IFERROR(VLOOKUP(AC472,'Training Matrix'!B$4:C$24,2,0),"")</f>
        <v/>
      </c>
      <c r="AE472" s="218"/>
      <c r="AF472" s="188" t="str">
        <f t="shared" si="645"/>
        <v/>
      </c>
      <c r="AG472" s="189" t="str">
        <f t="shared" ca="1" si="646"/>
        <v/>
      </c>
      <c r="AH472" s="50" t="str">
        <f t="shared" ref="AH472" si="665">IF(OR(AC472="",AE472=""),"",CONCATENATE(AC472,"_",K472,"_",L472))</f>
        <v/>
      </c>
    </row>
    <row r="473" spans="1:34" x14ac:dyDescent="0.25">
      <c r="A473" s="5" t="str">
        <f>IF(LEFT(F473,15)='SOP template'!$B$1,1,"")</f>
        <v/>
      </c>
      <c r="B473" s="190" t="str">
        <f t="shared" ref="B473:B481" si="666">CONCATENATE(LEFT(B472,8),E473)</f>
        <v>SOP.027.2</v>
      </c>
      <c r="C473" s="190" t="str">
        <f t="shared" ref="C473:C507" si="667">IF(ISBLANK($K473),CONCATENATE(LEFT($B472,8),IF($E473=1,1.1,IF($E473=2,1.4,IF($E473=3,2,IF($E473=4,2.4,IF($E473=5,3,IF($E473=6,3.4,IF($E473=7,4,IF($E473=8,4.4,IF($E473=9,5,IF($E473=10,5.4,IF($E473=11,6,IF($E473=12,6.4,""))))))))))))),CONCATENATE(RIGHT($K473,7),".1"))</f>
        <v>SOP.027.1.4</v>
      </c>
      <c r="D473" s="190" t="str">
        <f t="shared" ref="D473:D507" si="668">IF(ISBLANK($K473),CONCATENATE(LEFT($B472,8),IF($E473=1,1,IF($E473=2,1.3,IF($E473=3,1.5,IF($E473=4,2,IF($E473=5,2.3,IF($E473=6,2.5,IF($E473=7,3,IF($E473=8,3.3,IF($E473=9,3.5,IF($E473=10,4,IF($E473=11,4.3,IF($E473=12,4.5,""))))))))))))),CONCATENATE(RIGHT($K473,7),".1"))</f>
        <v>SOP.027.1.3</v>
      </c>
      <c r="E473" s="190">
        <f t="shared" si="633"/>
        <v>2</v>
      </c>
      <c r="F473" s="190" t="str">
        <f t="shared" ref="F473:F481" si="669">IF(K473=0,LEFT(F472,16)&amp;TEXT(E473,"00"),K473&amp;"."&amp;TEXT(E473,"00"))</f>
        <v>..SOP.027.0102</v>
      </c>
      <c r="G473" s="190" t="str">
        <f>IF(ISBLANK(N473),"",CONCATENATE(LEFT(F473,15),".",INDEX(Ref!A:A,MATCH(N473,Ref!$K$1:$K$333,0))))</f>
        <v/>
      </c>
      <c r="H473" s="181"/>
      <c r="I473" s="183"/>
      <c r="J473" s="181"/>
      <c r="K473" s="181"/>
      <c r="L473" s="182"/>
      <c r="M473" s="182"/>
      <c r="N473" s="183"/>
      <c r="O473" s="182"/>
      <c r="P473" s="182"/>
      <c r="Q473" s="184"/>
      <c r="R473" s="184"/>
      <c r="S473" s="185" t="str">
        <f>IFERROR(CLEAN(INDEX('Risk Matrix'!$H$7:$L$11,MATCH($Q473,'Risk Matrix'!$F$7:$F$11,0),MATCH($R473,'Risk Matrix'!$H$6:$L$6,0))),"")</f>
        <v/>
      </c>
      <c r="T473" s="85" t="str">
        <f>IF(LEFT($B473,7)=RIGHT('SOP template'!$B$1,7),_xlfn.NUMBERVALUE(RIGHT($S473,2)),"")</f>
        <v/>
      </c>
      <c r="U473" s="182"/>
      <c r="V473" s="182"/>
      <c r="W473" s="182"/>
      <c r="X473" s="182"/>
      <c r="Y473" s="182"/>
      <c r="Z473" s="183"/>
      <c r="AA473" s="186" t="str">
        <f>IFERROR(VLOOKUP(IFERROR(LEFT(S473,4),""),Ref!$AF$2:$AG$5,2,0),"")</f>
        <v/>
      </c>
      <c r="AB473" s="146"/>
      <c r="AC473" s="218"/>
      <c r="AD473" s="187" t="str">
        <f>IFERROR(VLOOKUP(AC473,'Training Matrix'!B$4:C$24,2,0),"")</f>
        <v/>
      </c>
      <c r="AE473" s="218"/>
      <c r="AF473" s="188" t="str">
        <f t="shared" si="645"/>
        <v/>
      </c>
      <c r="AG473" s="189" t="str">
        <f t="shared" ca="1" si="646"/>
        <v/>
      </c>
      <c r="AH473" s="50" t="str">
        <f t="shared" ref="AH473" si="670">IF(OR(AC473="",AE473=""),"",CONCATENATE(AC473,"_",K472,"_",L472))</f>
        <v/>
      </c>
    </row>
    <row r="474" spans="1:34" x14ac:dyDescent="0.25">
      <c r="A474" s="5" t="str">
        <f>IF(LEFT(F474,15)='SOP template'!$B$1,1,"")</f>
        <v/>
      </c>
      <c r="B474" s="190" t="str">
        <f t="shared" si="666"/>
        <v>SOP.027.3</v>
      </c>
      <c r="C474" s="190" t="str">
        <f t="shared" si="667"/>
        <v>SOP.027.2</v>
      </c>
      <c r="D474" s="190" t="str">
        <f t="shared" si="668"/>
        <v>SOP.027.1.5</v>
      </c>
      <c r="E474" s="190">
        <f t="shared" si="633"/>
        <v>3</v>
      </c>
      <c r="F474" s="190" t="str">
        <f t="shared" si="669"/>
        <v>..SOP.027.010203</v>
      </c>
      <c r="G474" s="190" t="str">
        <f>IF(ISBLANK(N474),"",CONCATENATE(LEFT(F474,15),".",INDEX(Ref!A:A,MATCH(N474,Ref!$K$1:$K$333,0))))</f>
        <v/>
      </c>
      <c r="H474" s="181"/>
      <c r="I474" s="183"/>
      <c r="J474" s="181"/>
      <c r="K474" s="181"/>
      <c r="L474" s="182"/>
      <c r="M474" s="182"/>
      <c r="N474" s="183"/>
      <c r="O474" s="182"/>
      <c r="P474" s="182"/>
      <c r="Q474" s="184"/>
      <c r="R474" s="184"/>
      <c r="S474" s="185" t="str">
        <f>IFERROR(CLEAN(INDEX('Risk Matrix'!$H$7:$L$11,MATCH($Q474,'Risk Matrix'!$F$7:$F$11,0),MATCH($R474,'Risk Matrix'!$H$6:$L$6,0))),"")</f>
        <v/>
      </c>
      <c r="T474" s="85" t="str">
        <f>IF(LEFT($B474,7)=RIGHT('SOP template'!$B$1,7),_xlfn.NUMBERVALUE(RIGHT($S474,2)),"")</f>
        <v/>
      </c>
      <c r="U474" s="182"/>
      <c r="V474" s="182"/>
      <c r="W474" s="182"/>
      <c r="X474" s="182"/>
      <c r="Y474" s="182"/>
      <c r="Z474" s="183"/>
      <c r="AA474" s="186" t="str">
        <f>IFERROR(VLOOKUP(IFERROR(LEFT(S474,4),""),Ref!$AF$2:$AG$5,2,0),"")</f>
        <v/>
      </c>
      <c r="AB474" s="146"/>
      <c r="AC474" s="218"/>
      <c r="AD474" s="187" t="str">
        <f>IFERROR(VLOOKUP(AC474,'Training Matrix'!B$4:C$24,2,0),"")</f>
        <v/>
      </c>
      <c r="AE474" s="218"/>
      <c r="AF474" s="188" t="str">
        <f t="shared" si="645"/>
        <v/>
      </c>
      <c r="AG474" s="189" t="str">
        <f t="shared" ca="1" si="646"/>
        <v/>
      </c>
      <c r="AH474" s="50" t="str">
        <f t="shared" ref="AH474" si="671">IF(OR(AC474="",AE474=""),"",CONCATENATE(AC474,"_",K472,"_",L472))</f>
        <v/>
      </c>
    </row>
    <row r="475" spans="1:34" x14ac:dyDescent="0.25">
      <c r="A475" s="5" t="str">
        <f>IF(LEFT(F475,15)='SOP template'!$B$1,1,"")</f>
        <v/>
      </c>
      <c r="B475" s="190" t="str">
        <f t="shared" si="666"/>
        <v>SOP.027.4</v>
      </c>
      <c r="C475" s="190" t="str">
        <f t="shared" si="667"/>
        <v>SOP.027.2.4</v>
      </c>
      <c r="D475" s="190" t="str">
        <f t="shared" si="668"/>
        <v>SOP.027.2</v>
      </c>
      <c r="E475" s="190">
        <f t="shared" si="633"/>
        <v>4</v>
      </c>
      <c r="F475" s="190" t="str">
        <f t="shared" si="669"/>
        <v>..SOP.027.01020304</v>
      </c>
      <c r="G475" s="190" t="str">
        <f>IF(ISBLANK(N475),"",CONCATENATE(LEFT(F475,15),".",INDEX(Ref!A:A,MATCH(N475,Ref!$K$1:$K$333,0))))</f>
        <v/>
      </c>
      <c r="H475" s="181"/>
      <c r="I475" s="183"/>
      <c r="J475" s="181"/>
      <c r="K475" s="181"/>
      <c r="L475" s="182"/>
      <c r="M475" s="182"/>
      <c r="N475" s="183"/>
      <c r="O475" s="182"/>
      <c r="P475" s="182"/>
      <c r="Q475" s="184"/>
      <c r="R475" s="184"/>
      <c r="S475" s="185" t="str">
        <f>IFERROR(CLEAN(INDEX('Risk Matrix'!$H$7:$L$11,MATCH($Q475,'Risk Matrix'!$F$7:$F$11,0),MATCH($R475,'Risk Matrix'!$H$6:$L$6,0))),"")</f>
        <v/>
      </c>
      <c r="T475" s="85" t="str">
        <f>IF(LEFT($B475,7)=RIGHT('SOP template'!$B$1,7),_xlfn.NUMBERVALUE(RIGHT($S475,2)),"")</f>
        <v/>
      </c>
      <c r="U475" s="182"/>
      <c r="V475" s="182"/>
      <c r="W475" s="182"/>
      <c r="X475" s="182"/>
      <c r="Y475" s="182"/>
      <c r="Z475" s="183"/>
      <c r="AA475" s="186" t="str">
        <f>IFERROR(VLOOKUP(IFERROR(LEFT(S475,4),""),Ref!$AF$2:$AG$5,2,0),"")</f>
        <v/>
      </c>
      <c r="AB475" s="146"/>
      <c r="AC475" s="218"/>
      <c r="AD475" s="187" t="str">
        <f>IFERROR(VLOOKUP(AC475,'Training Matrix'!B$4:C$24,2,0),"")</f>
        <v/>
      </c>
      <c r="AE475" s="218"/>
      <c r="AF475" s="188" t="str">
        <f t="shared" si="645"/>
        <v/>
      </c>
      <c r="AG475" s="189" t="str">
        <f t="shared" ca="1" si="646"/>
        <v/>
      </c>
      <c r="AH475" s="50" t="str">
        <f t="shared" ref="AH475" si="672">IF(OR(AC475="",AE475=""),"",CONCATENATE(AC475,"_",K472,"_",L472))</f>
        <v/>
      </c>
    </row>
    <row r="476" spans="1:34" x14ac:dyDescent="0.25">
      <c r="A476" s="5" t="str">
        <f>IF(LEFT(F476,15)='SOP template'!$B$1,1,"")</f>
        <v/>
      </c>
      <c r="B476" s="190" t="str">
        <f t="shared" si="666"/>
        <v>SOP.027.5</v>
      </c>
      <c r="C476" s="190" t="str">
        <f t="shared" si="667"/>
        <v>SOP.027.3</v>
      </c>
      <c r="D476" s="190" t="str">
        <f t="shared" si="668"/>
        <v>SOP.027.2.3</v>
      </c>
      <c r="E476" s="190">
        <f t="shared" si="633"/>
        <v>5</v>
      </c>
      <c r="F476" s="190" t="str">
        <f t="shared" si="669"/>
        <v>..SOP.027.01020305</v>
      </c>
      <c r="G476" s="190" t="str">
        <f>IF(ISBLANK(N476),"",CONCATENATE(LEFT(F476,15),".",INDEX(Ref!A:A,MATCH(N476,Ref!$K$1:$K$333,0))))</f>
        <v/>
      </c>
      <c r="H476" s="181"/>
      <c r="I476" s="183"/>
      <c r="J476" s="181"/>
      <c r="K476" s="181"/>
      <c r="L476" s="182"/>
      <c r="M476" s="182"/>
      <c r="N476" s="183"/>
      <c r="O476" s="182"/>
      <c r="P476" s="182"/>
      <c r="Q476" s="184"/>
      <c r="R476" s="184"/>
      <c r="S476" s="185" t="str">
        <f>IFERROR(CLEAN(INDEX('Risk Matrix'!$H$7:$L$11,MATCH($Q476,'Risk Matrix'!$F$7:$F$11,0),MATCH($R476,'Risk Matrix'!$H$6:$L$6,0))),"")</f>
        <v/>
      </c>
      <c r="T476" s="85" t="str">
        <f>IF(LEFT($B476,7)=RIGHT('SOP template'!$B$1,7),_xlfn.NUMBERVALUE(RIGHT($S476,2)),"")</f>
        <v/>
      </c>
      <c r="U476" s="182"/>
      <c r="V476" s="182"/>
      <c r="W476" s="182"/>
      <c r="X476" s="182"/>
      <c r="Y476" s="182"/>
      <c r="Z476" s="183"/>
      <c r="AA476" s="186" t="str">
        <f>IFERROR(VLOOKUP(IFERROR(LEFT(S476,4),""),Ref!$AF$2:$AG$5,2,0),"")</f>
        <v/>
      </c>
      <c r="AB476" s="146"/>
      <c r="AC476" s="218"/>
      <c r="AD476" s="187" t="str">
        <f>IFERROR(VLOOKUP(AC476,'Training Matrix'!B$4:C$24,2,0),"")</f>
        <v/>
      </c>
      <c r="AE476" s="218"/>
      <c r="AF476" s="188" t="str">
        <f t="shared" si="645"/>
        <v/>
      </c>
      <c r="AG476" s="189" t="str">
        <f t="shared" ca="1" si="646"/>
        <v/>
      </c>
      <c r="AH476" s="50" t="str">
        <f t="shared" ref="AH476" si="673">IF(OR(AC476="",AE476=""),"",CONCATENATE(AC476,"_",K472,"_",L472))</f>
        <v/>
      </c>
    </row>
    <row r="477" spans="1:34" x14ac:dyDescent="0.25">
      <c r="A477" s="5" t="str">
        <f>IF(LEFT(F477,15)='SOP template'!$B$1,1,"")</f>
        <v/>
      </c>
      <c r="B477" s="190" t="str">
        <f t="shared" si="666"/>
        <v>SOP.027.6</v>
      </c>
      <c r="C477" s="190" t="str">
        <f t="shared" si="667"/>
        <v>SOP.027.3.4</v>
      </c>
      <c r="D477" s="190" t="str">
        <f t="shared" si="668"/>
        <v>SOP.027.2.5</v>
      </c>
      <c r="E477" s="190">
        <f t="shared" si="633"/>
        <v>6</v>
      </c>
      <c r="F477" s="190" t="str">
        <f t="shared" si="669"/>
        <v>..SOP.027.01020306</v>
      </c>
      <c r="G477" s="190" t="str">
        <f>IF(ISBLANK(N477),"",CONCATENATE(LEFT(F477,15),".",INDEX(Ref!A:A,MATCH(N477,Ref!$K$1:$K$333,0))))</f>
        <v/>
      </c>
      <c r="H477" s="181"/>
      <c r="I477" s="183"/>
      <c r="J477" s="181"/>
      <c r="K477" s="181"/>
      <c r="L477" s="182"/>
      <c r="M477" s="182"/>
      <c r="N477" s="183"/>
      <c r="O477" s="182"/>
      <c r="P477" s="182"/>
      <c r="Q477" s="184"/>
      <c r="R477" s="184"/>
      <c r="S477" s="185" t="str">
        <f>IFERROR(CLEAN(INDEX('Risk Matrix'!$H$7:$L$11,MATCH($Q477,'Risk Matrix'!$F$7:$F$11,0),MATCH($R477,'Risk Matrix'!$H$6:$L$6,0))),"")</f>
        <v/>
      </c>
      <c r="T477" s="85" t="str">
        <f>IF(LEFT($B477,7)=RIGHT('SOP template'!$B$1,7),_xlfn.NUMBERVALUE(RIGHT($S477,2)),"")</f>
        <v/>
      </c>
      <c r="U477" s="182"/>
      <c r="V477" s="182"/>
      <c r="W477" s="182"/>
      <c r="X477" s="182"/>
      <c r="Y477" s="182"/>
      <c r="Z477" s="183"/>
      <c r="AA477" s="186" t="str">
        <f>IFERROR(VLOOKUP(IFERROR(LEFT(S477,4),""),Ref!$AF$2:$AG$5,2,0),"")</f>
        <v/>
      </c>
      <c r="AB477" s="146"/>
      <c r="AC477" s="218"/>
      <c r="AD477" s="187" t="str">
        <f>IFERROR(VLOOKUP(AC477,'Training Matrix'!B$4:C$24,2,0),"")</f>
        <v/>
      </c>
      <c r="AE477" s="218"/>
      <c r="AF477" s="188" t="str">
        <f t="shared" si="645"/>
        <v/>
      </c>
      <c r="AG477" s="189" t="str">
        <f t="shared" ca="1" si="646"/>
        <v/>
      </c>
      <c r="AH477" s="50" t="str">
        <f t="shared" ref="AH477" si="674">IF(OR(AC477="",AE477=""),"",CONCATENATE(AC477,"_",K472,"_",L472))</f>
        <v/>
      </c>
    </row>
    <row r="478" spans="1:34" x14ac:dyDescent="0.25">
      <c r="A478" s="5" t="str">
        <f>IF(LEFT(F478,15)='SOP template'!$B$1,1,"")</f>
        <v/>
      </c>
      <c r="B478" s="190" t="str">
        <f t="shared" si="666"/>
        <v>SOP.027.7</v>
      </c>
      <c r="C478" s="190" t="str">
        <f t="shared" si="667"/>
        <v>SOP.027.4</v>
      </c>
      <c r="D478" s="190" t="str">
        <f t="shared" si="668"/>
        <v>SOP.027.3</v>
      </c>
      <c r="E478" s="190">
        <f t="shared" si="633"/>
        <v>7</v>
      </c>
      <c r="F478" s="190" t="str">
        <f t="shared" si="669"/>
        <v>..SOP.027.01020307</v>
      </c>
      <c r="G478" s="190" t="str">
        <f>IF(ISBLANK(N478),"",CONCATENATE(LEFT(F478,15),".",INDEX(Ref!A:A,MATCH(N478,Ref!$K$1:$K$333,0))))</f>
        <v/>
      </c>
      <c r="H478" s="181"/>
      <c r="I478" s="183"/>
      <c r="J478" s="181"/>
      <c r="K478" s="181"/>
      <c r="L478" s="182"/>
      <c r="M478" s="182"/>
      <c r="N478" s="183"/>
      <c r="O478" s="182"/>
      <c r="P478" s="182"/>
      <c r="Q478" s="184"/>
      <c r="R478" s="184"/>
      <c r="S478" s="185" t="str">
        <f>IFERROR(CLEAN(INDEX('Risk Matrix'!$H$7:$L$11,MATCH($Q478,'Risk Matrix'!$F$7:$F$11,0),MATCH($R478,'Risk Matrix'!$H$6:$L$6,0))),"")</f>
        <v/>
      </c>
      <c r="T478" s="85" t="str">
        <f>IF(LEFT($B478,7)=RIGHT('SOP template'!$B$1,7),_xlfn.NUMBERVALUE(RIGHT($S478,2)),"")</f>
        <v/>
      </c>
      <c r="U478" s="182"/>
      <c r="V478" s="182"/>
      <c r="W478" s="182"/>
      <c r="X478" s="182"/>
      <c r="Y478" s="182"/>
      <c r="Z478" s="183"/>
      <c r="AA478" s="186" t="str">
        <f>IFERROR(VLOOKUP(IFERROR(LEFT(S478,4),""),Ref!$AF$2:$AG$5,2,0),"")</f>
        <v/>
      </c>
      <c r="AB478" s="146"/>
      <c r="AC478" s="218"/>
      <c r="AD478" s="187" t="str">
        <f>IFERROR(VLOOKUP(AC478,'Training Matrix'!B$4:C$24,2,0),"")</f>
        <v/>
      </c>
      <c r="AE478" s="218"/>
      <c r="AF478" s="188" t="str">
        <f t="shared" si="645"/>
        <v/>
      </c>
      <c r="AG478" s="189" t="str">
        <f t="shared" ca="1" si="646"/>
        <v/>
      </c>
      <c r="AH478" s="50" t="str">
        <f t="shared" ref="AH478" si="675">IF(OR(AC478="",AE478=""),"",CONCATENATE(AC478,"_",K472,"_",L472))</f>
        <v/>
      </c>
    </row>
    <row r="479" spans="1:34" x14ac:dyDescent="0.25">
      <c r="A479" s="5" t="str">
        <f>IF(LEFT(F479,15)='SOP template'!$B$1,1,"")</f>
        <v/>
      </c>
      <c r="B479" s="190" t="str">
        <f t="shared" si="666"/>
        <v>SOP.027.8</v>
      </c>
      <c r="C479" s="190" t="str">
        <f t="shared" si="667"/>
        <v>SOP.027.4.4</v>
      </c>
      <c r="D479" s="190" t="str">
        <f t="shared" si="668"/>
        <v>SOP.027.3.3</v>
      </c>
      <c r="E479" s="190">
        <f t="shared" si="633"/>
        <v>8</v>
      </c>
      <c r="F479" s="190" t="str">
        <f t="shared" si="669"/>
        <v>..SOP.027.01020308</v>
      </c>
      <c r="G479" s="190" t="str">
        <f>IF(ISBLANK(N479),"",CONCATENATE(LEFT(F479,15),".",INDEX(Ref!A:A,MATCH(N479,Ref!$K$1:$K$333,0))))</f>
        <v/>
      </c>
      <c r="H479" s="181"/>
      <c r="I479" s="183"/>
      <c r="J479" s="181"/>
      <c r="K479" s="181"/>
      <c r="L479" s="182"/>
      <c r="M479" s="182"/>
      <c r="N479" s="183"/>
      <c r="O479" s="182"/>
      <c r="P479" s="182"/>
      <c r="Q479" s="184"/>
      <c r="R479" s="184"/>
      <c r="S479" s="185" t="str">
        <f>IFERROR(CLEAN(INDEX('Risk Matrix'!$H$7:$L$11,MATCH($Q479,'Risk Matrix'!$F$7:$F$11,0),MATCH($R479,'Risk Matrix'!$H$6:$L$6,0))),"")</f>
        <v/>
      </c>
      <c r="T479" s="85" t="str">
        <f>IF(LEFT($B479,7)=RIGHT('SOP template'!$B$1,7),_xlfn.NUMBERVALUE(RIGHT($S479,2)),"")</f>
        <v/>
      </c>
      <c r="U479" s="182"/>
      <c r="V479" s="182"/>
      <c r="W479" s="182"/>
      <c r="X479" s="182"/>
      <c r="Y479" s="182"/>
      <c r="Z479" s="183"/>
      <c r="AA479" s="186" t="str">
        <f>IFERROR(VLOOKUP(IFERROR(LEFT(S479,4),""),Ref!$AF$2:$AG$5,2,0),"")</f>
        <v/>
      </c>
      <c r="AB479" s="146"/>
      <c r="AC479" s="218"/>
      <c r="AD479" s="187" t="str">
        <f>IFERROR(VLOOKUP(AC479,'Training Matrix'!B$4:C$24,2,0),"")</f>
        <v/>
      </c>
      <c r="AE479" s="218"/>
      <c r="AF479" s="188" t="str">
        <f t="shared" si="645"/>
        <v/>
      </c>
      <c r="AG479" s="189" t="str">
        <f t="shared" ca="1" si="646"/>
        <v/>
      </c>
      <c r="AH479" s="50" t="str">
        <f t="shared" ref="AH479" si="676">IF(OR(AC479="",AE479=""),"",CONCATENATE(AC479,"_",K472,"_",L472))</f>
        <v/>
      </c>
    </row>
    <row r="480" spans="1:34" x14ac:dyDescent="0.25">
      <c r="A480" s="5" t="str">
        <f>IF(LEFT(F480,15)='SOP template'!$B$1,1,"")</f>
        <v/>
      </c>
      <c r="B480" s="190" t="str">
        <f t="shared" si="666"/>
        <v>SOP.027.9</v>
      </c>
      <c r="C480" s="190" t="str">
        <f t="shared" si="667"/>
        <v>SOP.027.5</v>
      </c>
      <c r="D480" s="190" t="str">
        <f t="shared" si="668"/>
        <v>SOP.027.3.5</v>
      </c>
      <c r="E480" s="190">
        <f t="shared" si="633"/>
        <v>9</v>
      </c>
      <c r="F480" s="190" t="str">
        <f t="shared" si="669"/>
        <v>..SOP.027.01020309</v>
      </c>
      <c r="G480" s="190" t="str">
        <f>IF(ISBLANK(N480),"",CONCATENATE(LEFT(F480,15),".",INDEX(Ref!A:A,MATCH(N480,Ref!$K$1:$K$333,0))))</f>
        <v/>
      </c>
      <c r="H480" s="181"/>
      <c r="I480" s="183"/>
      <c r="J480" s="181"/>
      <c r="K480" s="181"/>
      <c r="L480" s="182"/>
      <c r="M480" s="182"/>
      <c r="N480" s="183"/>
      <c r="O480" s="182"/>
      <c r="P480" s="182"/>
      <c r="Q480" s="184"/>
      <c r="R480" s="184"/>
      <c r="S480" s="185" t="str">
        <f>IFERROR(CLEAN(INDEX('Risk Matrix'!$H$7:$L$11,MATCH($Q480,'Risk Matrix'!$F$7:$F$11,0),MATCH($R480,'Risk Matrix'!$H$6:$L$6,0))),"")</f>
        <v/>
      </c>
      <c r="T480" s="85" t="str">
        <f>IF(LEFT($B480,7)=RIGHT('SOP template'!$B$1,7),_xlfn.NUMBERVALUE(RIGHT($S480,2)),"")</f>
        <v/>
      </c>
      <c r="U480" s="182"/>
      <c r="V480" s="182"/>
      <c r="W480" s="182"/>
      <c r="X480" s="182"/>
      <c r="Y480" s="182"/>
      <c r="Z480" s="183"/>
      <c r="AA480" s="186" t="str">
        <f>IFERROR(VLOOKUP(IFERROR(LEFT(S480,4),""),Ref!$AF$2:$AG$5,2,0),"")</f>
        <v/>
      </c>
      <c r="AB480" s="146"/>
      <c r="AC480" s="218"/>
      <c r="AD480" s="187" t="str">
        <f>IFERROR(VLOOKUP(AC480,'Training Matrix'!B$4:C$24,2,0),"")</f>
        <v/>
      </c>
      <c r="AE480" s="218"/>
      <c r="AF480" s="188" t="str">
        <f t="shared" si="645"/>
        <v/>
      </c>
      <c r="AG480" s="189" t="str">
        <f t="shared" ca="1" si="646"/>
        <v/>
      </c>
      <c r="AH480" s="50" t="str">
        <f t="shared" ref="AH480" si="677">IF(OR(AC480="",AE480=""),"",CONCATENATE(AC480,"_",K472,"_",L472))</f>
        <v/>
      </c>
    </row>
    <row r="481" spans="1:34" x14ac:dyDescent="0.25">
      <c r="A481" s="5" t="str">
        <f>IF(LEFT(F481,15)='SOP template'!$B$1,1,"")</f>
        <v/>
      </c>
      <c r="B481" s="190" t="str">
        <f t="shared" si="666"/>
        <v>SOP.027.10</v>
      </c>
      <c r="C481" s="190" t="str">
        <f t="shared" si="667"/>
        <v>SOP.027.5.4</v>
      </c>
      <c r="D481" s="190" t="str">
        <f t="shared" si="668"/>
        <v>SOP.027.4</v>
      </c>
      <c r="E481" s="190">
        <f t="shared" si="633"/>
        <v>10</v>
      </c>
      <c r="F481" s="190" t="str">
        <f t="shared" si="669"/>
        <v>..SOP.027.01020310</v>
      </c>
      <c r="G481" s="190" t="str">
        <f>IF(ISBLANK(N481),"",CONCATENATE(LEFT(F481,15),".",INDEX(Ref!A:A,MATCH(N481,Ref!$K$1:$K$333,0))))</f>
        <v/>
      </c>
      <c r="H481" s="181"/>
      <c r="I481" s="183"/>
      <c r="J481" s="181"/>
      <c r="K481" s="181"/>
      <c r="L481" s="182"/>
      <c r="M481" s="182"/>
      <c r="N481" s="183"/>
      <c r="O481" s="182"/>
      <c r="P481" s="182"/>
      <c r="Q481" s="184"/>
      <c r="R481" s="184"/>
      <c r="S481" s="185" t="str">
        <f>IFERROR(CLEAN(INDEX('Risk Matrix'!$H$7:$L$11,MATCH($Q481,'Risk Matrix'!$F$7:$F$11,0),MATCH($R481,'Risk Matrix'!$H$6:$L$6,0))),"")</f>
        <v/>
      </c>
      <c r="T481" s="85" t="str">
        <f>IF(LEFT($B481,7)=RIGHT('SOP template'!$B$1,7),_xlfn.NUMBERVALUE(RIGHT($S481,2)),"")</f>
        <v/>
      </c>
      <c r="U481" s="182"/>
      <c r="V481" s="182"/>
      <c r="W481" s="182"/>
      <c r="X481" s="182"/>
      <c r="Y481" s="182"/>
      <c r="Z481" s="183"/>
      <c r="AA481" s="186" t="str">
        <f>IFERROR(VLOOKUP(IFERROR(LEFT(S481,4),""),Ref!$AF$2:$AG$5,2,0),"")</f>
        <v/>
      </c>
      <c r="AB481" s="146"/>
      <c r="AC481" s="218"/>
      <c r="AD481" s="187" t="str">
        <f>IFERROR(VLOOKUP(AC481,'Training Matrix'!B$4:C$24,2,0),"")</f>
        <v/>
      </c>
      <c r="AE481" s="218"/>
      <c r="AF481" s="188" t="str">
        <f t="shared" si="645"/>
        <v/>
      </c>
      <c r="AG481" s="189" t="str">
        <f t="shared" ca="1" si="646"/>
        <v/>
      </c>
      <c r="AH481" s="50" t="str">
        <f t="shared" ref="AH481" si="678">IF(OR(AC481="",AE481=""),"",CONCATENATE(AC481,"_",K472,"_",L472))</f>
        <v/>
      </c>
    </row>
    <row r="482" spans="1:34" x14ac:dyDescent="0.25">
      <c r="A482" s="5" t="str">
        <f>IF(LEFT(F482,15)='SOP template'!$B$1,1,"")</f>
        <v/>
      </c>
      <c r="B482" s="190" t="str">
        <f t="shared" ref="B482:B489" si="679">CONCATENATE(LEFT(B481,8),E482)</f>
        <v>SOP.027.11</v>
      </c>
      <c r="C482" s="190" t="str">
        <f t="shared" si="667"/>
        <v>SOP.027.6</v>
      </c>
      <c r="D482" s="190" t="str">
        <f t="shared" si="668"/>
        <v>SOP.027.4.3</v>
      </c>
      <c r="E482" s="190">
        <f t="shared" si="633"/>
        <v>11</v>
      </c>
      <c r="F482" s="190" t="str">
        <f t="shared" ref="F482:F489" si="680">IF(K482=0,LEFT(F481,16)&amp;TEXT(E482,"00"),K482&amp;"."&amp;TEXT(E482,"00"))</f>
        <v>..SOP.027.01020311</v>
      </c>
      <c r="G482" s="190" t="str">
        <f>IF(ISBLANK(N482),"",CONCATENATE(LEFT(F482,15),".",INDEX(Ref!A:A,MATCH(N482,Ref!$K$1:$K$333,0))))</f>
        <v/>
      </c>
      <c r="H482" s="181"/>
      <c r="I482" s="183"/>
      <c r="J482" s="181"/>
      <c r="K482" s="181"/>
      <c r="L482" s="182"/>
      <c r="M482" s="182"/>
      <c r="N482" s="183"/>
      <c r="O482" s="182"/>
      <c r="P482" s="182"/>
      <c r="Q482" s="184"/>
      <c r="R482" s="184"/>
      <c r="S482" s="185" t="str">
        <f>IFERROR(CLEAN(INDEX('Risk Matrix'!$H$7:$L$11,MATCH($Q482,'Risk Matrix'!$F$7:$F$11,0),MATCH($R482,'Risk Matrix'!$H$6:$L$6,0))),"")</f>
        <v/>
      </c>
      <c r="T482" s="85" t="str">
        <f>IF(LEFT($B482,7)=RIGHT('SOP template'!$B$1,7),_xlfn.NUMBERVALUE(RIGHT($S482,2)),"")</f>
        <v/>
      </c>
      <c r="U482" s="182"/>
      <c r="V482" s="182"/>
      <c r="W482" s="182"/>
      <c r="X482" s="182"/>
      <c r="Y482" s="182"/>
      <c r="Z482" s="183"/>
      <c r="AA482" s="186" t="str">
        <f>IFERROR(VLOOKUP(IFERROR(LEFT(S482,4),""),Ref!$AF$2:$AG$5,2,0),"")</f>
        <v/>
      </c>
      <c r="AB482" s="146"/>
      <c r="AC482" s="218"/>
      <c r="AD482" s="187" t="str">
        <f>IFERROR(VLOOKUP(AC482,'Training Matrix'!B$4:C$24,2,0),"")</f>
        <v/>
      </c>
      <c r="AE482" s="218"/>
      <c r="AF482" s="188" t="str">
        <f t="shared" si="645"/>
        <v/>
      </c>
      <c r="AG482" s="189" t="str">
        <f t="shared" ca="1" si="646"/>
        <v/>
      </c>
      <c r="AH482" s="50" t="str">
        <f t="shared" ref="AH482" si="681">IF(OR(AC482="",AE482=""),"",CONCATENATE(AC482,"_",K472,"_",L472))</f>
        <v/>
      </c>
    </row>
    <row r="483" spans="1:34" x14ac:dyDescent="0.25">
      <c r="A483" s="5" t="str">
        <f>IF(LEFT(F483,15)='SOP template'!$B$1,1,"")</f>
        <v/>
      </c>
      <c r="B483" s="190" t="str">
        <f t="shared" si="679"/>
        <v>SOP.027.12</v>
      </c>
      <c r="C483" s="190" t="str">
        <f t="shared" si="667"/>
        <v>SOP.027.6.4</v>
      </c>
      <c r="D483" s="190" t="str">
        <f t="shared" si="668"/>
        <v>SOP.027.4.5</v>
      </c>
      <c r="E483" s="190">
        <f t="shared" si="633"/>
        <v>12</v>
      </c>
      <c r="F483" s="190" t="str">
        <f t="shared" si="680"/>
        <v>..SOP.027.01020312</v>
      </c>
      <c r="G483" s="190" t="str">
        <f>IF(ISBLANK(N483),"",CONCATENATE(LEFT(F483,15),".",INDEX(Ref!A:A,MATCH(N483,Ref!$K$1:$K$333,0))))</f>
        <v/>
      </c>
      <c r="H483" s="181"/>
      <c r="I483" s="183"/>
      <c r="J483" s="181"/>
      <c r="K483" s="181"/>
      <c r="L483" s="182"/>
      <c r="M483" s="182"/>
      <c r="N483" s="183"/>
      <c r="O483" s="182"/>
      <c r="P483" s="182"/>
      <c r="Q483" s="184"/>
      <c r="R483" s="184"/>
      <c r="S483" s="185" t="str">
        <f>IFERROR(CLEAN(INDEX('Risk Matrix'!$H$7:$L$11,MATCH($Q483,'Risk Matrix'!$F$7:$F$11,0),MATCH($R483,'Risk Matrix'!$H$6:$L$6,0))),"")</f>
        <v/>
      </c>
      <c r="T483" s="85" t="str">
        <f>IF(LEFT($B483,7)=RIGHT('SOP template'!$B$1,7),_xlfn.NUMBERVALUE(RIGHT($S483,2)),"")</f>
        <v/>
      </c>
      <c r="U483" s="182"/>
      <c r="V483" s="182"/>
      <c r="W483" s="182"/>
      <c r="X483" s="182"/>
      <c r="Y483" s="182"/>
      <c r="Z483" s="183"/>
      <c r="AA483" s="186" t="str">
        <f>IFERROR(VLOOKUP(IFERROR(LEFT(S483,4),""),Ref!$AF$2:$AG$5,2,0),"")</f>
        <v/>
      </c>
      <c r="AB483" s="146"/>
      <c r="AC483" s="218"/>
      <c r="AD483" s="187" t="str">
        <f>IFERROR(VLOOKUP(AC483,'Training Matrix'!B$4:C$24,2,0),"")</f>
        <v/>
      </c>
      <c r="AE483" s="218"/>
      <c r="AF483" s="188" t="str">
        <f t="shared" si="645"/>
        <v/>
      </c>
      <c r="AG483" s="189" t="str">
        <f t="shared" ca="1" si="646"/>
        <v/>
      </c>
      <c r="AH483" s="50" t="str">
        <f t="shared" ref="AH483" si="682">IF(OR(AC483="",AE483=""),"",CONCATENATE(AC483,"_",K472,"_",L472))</f>
        <v/>
      </c>
    </row>
    <row r="484" spans="1:34" x14ac:dyDescent="0.25">
      <c r="A484" s="5" t="str">
        <f>IF(LEFT(F484,15)='SOP template'!$B$1,1,"")</f>
        <v/>
      </c>
      <c r="B484" s="190" t="str">
        <f t="shared" si="679"/>
        <v>SOP.027.13</v>
      </c>
      <c r="C484" s="190" t="str">
        <f t="shared" si="667"/>
        <v>SOP.027.</v>
      </c>
      <c r="D484" s="190" t="str">
        <f t="shared" si="668"/>
        <v>SOP.027.</v>
      </c>
      <c r="E484" s="190">
        <f t="shared" si="633"/>
        <v>13</v>
      </c>
      <c r="F484" s="190" t="str">
        <f t="shared" si="680"/>
        <v>..SOP.027.01020313</v>
      </c>
      <c r="G484" s="190" t="str">
        <f>IF(ISBLANK(N484),"",CONCATENATE(LEFT(F484,15),".",INDEX(Ref!A:A,MATCH(N484,Ref!$K$1:$K$333,0))))</f>
        <v/>
      </c>
      <c r="H484" s="181"/>
      <c r="I484" s="183"/>
      <c r="J484" s="181"/>
      <c r="K484" s="181"/>
      <c r="L484" s="182"/>
      <c r="M484" s="182"/>
      <c r="N484" s="183"/>
      <c r="O484" s="182"/>
      <c r="P484" s="182"/>
      <c r="Q484" s="184"/>
      <c r="R484" s="184"/>
      <c r="S484" s="185" t="str">
        <f>IFERROR(CLEAN(INDEX('Risk Matrix'!$H$7:$L$11,MATCH($Q484,'Risk Matrix'!$F$7:$F$11,0),MATCH($R484,'Risk Matrix'!$H$6:$L$6,0))),"")</f>
        <v/>
      </c>
      <c r="T484" s="85" t="str">
        <f>IF(LEFT($B484,7)=RIGHT('SOP template'!$B$1,7),_xlfn.NUMBERVALUE(RIGHT($S484,2)),"")</f>
        <v/>
      </c>
      <c r="U484" s="182"/>
      <c r="V484" s="182"/>
      <c r="W484" s="182"/>
      <c r="X484" s="182"/>
      <c r="Y484" s="182"/>
      <c r="Z484" s="183"/>
      <c r="AA484" s="186" t="str">
        <f>IFERROR(VLOOKUP(IFERROR(LEFT(S484,4),""),Ref!$AF$2:$AG$5,2,0),"")</f>
        <v/>
      </c>
      <c r="AB484" s="146"/>
      <c r="AC484" s="218"/>
      <c r="AD484" s="187" t="str">
        <f>IFERROR(VLOOKUP(AC484,'Training Matrix'!B$4:C$24,2,0),"")</f>
        <v/>
      </c>
      <c r="AE484" s="218"/>
      <c r="AF484" s="188" t="str">
        <f t="shared" si="645"/>
        <v/>
      </c>
      <c r="AG484" s="189" t="str">
        <f t="shared" ca="1" si="646"/>
        <v/>
      </c>
      <c r="AH484" s="50" t="str">
        <f t="shared" ref="AH484" si="683">IF(OR(AC484="",AE484=""),"",CONCATENATE(AC484,"_",K472,"_",L472))</f>
        <v/>
      </c>
    </row>
    <row r="485" spans="1:34" x14ac:dyDescent="0.25">
      <c r="A485" s="5" t="str">
        <f>IF(LEFT(F485,15)='SOP template'!$B$1,1,"")</f>
        <v/>
      </c>
      <c r="B485" s="190" t="str">
        <f t="shared" si="679"/>
        <v>SOP.027.14</v>
      </c>
      <c r="C485" s="190" t="str">
        <f t="shared" si="667"/>
        <v>SOP.027.</v>
      </c>
      <c r="D485" s="190" t="str">
        <f t="shared" si="668"/>
        <v>SOP.027.</v>
      </c>
      <c r="E485" s="190">
        <f t="shared" si="633"/>
        <v>14</v>
      </c>
      <c r="F485" s="190" t="str">
        <f t="shared" si="680"/>
        <v>..SOP.027.01020314</v>
      </c>
      <c r="G485" s="190" t="str">
        <f>IF(ISBLANK(N485),"",CONCATENATE(LEFT(F485,15),".",INDEX(Ref!A:A,MATCH(N485,Ref!$K$1:$K$333,0))))</f>
        <v/>
      </c>
      <c r="H485" s="181"/>
      <c r="I485" s="183"/>
      <c r="J485" s="181"/>
      <c r="K485" s="181"/>
      <c r="L485" s="182"/>
      <c r="M485" s="182"/>
      <c r="N485" s="183"/>
      <c r="O485" s="182"/>
      <c r="P485" s="182"/>
      <c r="Q485" s="184"/>
      <c r="R485" s="184"/>
      <c r="S485" s="185" t="str">
        <f>IFERROR(CLEAN(INDEX('Risk Matrix'!$H$7:$L$11,MATCH($Q485,'Risk Matrix'!$F$7:$F$11,0),MATCH($R485,'Risk Matrix'!$H$6:$L$6,0))),"")</f>
        <v/>
      </c>
      <c r="T485" s="85" t="str">
        <f>IF(LEFT($B485,7)=RIGHT('SOP template'!$B$1,7),_xlfn.NUMBERVALUE(RIGHT($S485,2)),"")</f>
        <v/>
      </c>
      <c r="U485" s="182"/>
      <c r="V485" s="182"/>
      <c r="W485" s="182"/>
      <c r="X485" s="182"/>
      <c r="Y485" s="182"/>
      <c r="Z485" s="183"/>
      <c r="AA485" s="186" t="str">
        <f>IFERROR(VLOOKUP(IFERROR(LEFT(S485,4),""),Ref!$AF$2:$AG$5,2,0),"")</f>
        <v/>
      </c>
      <c r="AB485" s="146"/>
      <c r="AC485" s="218"/>
      <c r="AD485" s="187" t="str">
        <f>IFERROR(VLOOKUP(AC485,'Training Matrix'!B$4:C$24,2,0),"")</f>
        <v/>
      </c>
      <c r="AE485" s="218"/>
      <c r="AF485" s="188" t="str">
        <f t="shared" si="645"/>
        <v/>
      </c>
      <c r="AG485" s="189" t="str">
        <f t="shared" ca="1" si="646"/>
        <v/>
      </c>
      <c r="AH485" s="50" t="str">
        <f t="shared" ref="AH485" si="684">IF(OR(AC485="",AE485=""),"",CONCATENATE(AC485,"_",K472,"_",L472))</f>
        <v/>
      </c>
    </row>
    <row r="486" spans="1:34" x14ac:dyDescent="0.25">
      <c r="A486" s="5" t="str">
        <f>IF(LEFT(F486,15)='SOP template'!$B$1,1,"")</f>
        <v/>
      </c>
      <c r="B486" s="190" t="str">
        <f t="shared" si="679"/>
        <v>SOP.027.15</v>
      </c>
      <c r="C486" s="190" t="str">
        <f t="shared" si="667"/>
        <v>SOP.027.</v>
      </c>
      <c r="D486" s="190" t="str">
        <f t="shared" si="668"/>
        <v>SOP.027.</v>
      </c>
      <c r="E486" s="190">
        <f t="shared" si="633"/>
        <v>15</v>
      </c>
      <c r="F486" s="190" t="str">
        <f t="shared" si="680"/>
        <v>..SOP.027.01020315</v>
      </c>
      <c r="G486" s="190" t="str">
        <f>IF(ISBLANK(N486),"",CONCATENATE(LEFT(F486,15),".",INDEX(Ref!A:A,MATCH(N486,Ref!$K$1:$K$333,0))))</f>
        <v/>
      </c>
      <c r="H486" s="181"/>
      <c r="I486" s="183"/>
      <c r="J486" s="181"/>
      <c r="K486" s="181"/>
      <c r="L486" s="182"/>
      <c r="M486" s="182"/>
      <c r="N486" s="183"/>
      <c r="O486" s="182"/>
      <c r="P486" s="182"/>
      <c r="Q486" s="184"/>
      <c r="R486" s="184"/>
      <c r="S486" s="185" t="str">
        <f>IFERROR(CLEAN(INDEX('Risk Matrix'!$H$7:$L$11,MATCH($Q486,'Risk Matrix'!$F$7:$F$11,0),MATCH($R486,'Risk Matrix'!$H$6:$L$6,0))),"")</f>
        <v/>
      </c>
      <c r="T486" s="85" t="str">
        <f>IF(LEFT($B486,7)=RIGHT('SOP template'!$B$1,7),_xlfn.NUMBERVALUE(RIGHT($S486,2)),"")</f>
        <v/>
      </c>
      <c r="U486" s="182"/>
      <c r="V486" s="182"/>
      <c r="W486" s="182"/>
      <c r="X486" s="182"/>
      <c r="Y486" s="182"/>
      <c r="Z486" s="183"/>
      <c r="AA486" s="186" t="str">
        <f>IFERROR(VLOOKUP(IFERROR(LEFT(S486,4),""),Ref!$AF$2:$AG$5,2,0),"")</f>
        <v/>
      </c>
      <c r="AB486" s="146"/>
      <c r="AC486" s="218"/>
      <c r="AD486" s="187" t="str">
        <f>IFERROR(VLOOKUP(AC486,'Training Matrix'!B$4:C$24,2,0),"")</f>
        <v/>
      </c>
      <c r="AE486" s="218"/>
      <c r="AF486" s="188" t="str">
        <f t="shared" si="645"/>
        <v/>
      </c>
      <c r="AG486" s="189" t="str">
        <f t="shared" ca="1" si="646"/>
        <v/>
      </c>
      <c r="AH486" s="50" t="str">
        <f t="shared" ref="AH486" si="685">IF(OR(AC486="",AE486=""),"",CONCATENATE(AC486,"_",K472,"_",L472))</f>
        <v/>
      </c>
    </row>
    <row r="487" spans="1:34" x14ac:dyDescent="0.25">
      <c r="A487" s="5" t="str">
        <f>IF(LEFT(F487,15)='SOP template'!$B$1,1,"")</f>
        <v/>
      </c>
      <c r="B487" s="190" t="str">
        <f t="shared" si="679"/>
        <v>SOP.027.16</v>
      </c>
      <c r="C487" s="190" t="str">
        <f t="shared" si="667"/>
        <v>SOP.027.</v>
      </c>
      <c r="D487" s="190" t="str">
        <f t="shared" si="668"/>
        <v>SOP.027.</v>
      </c>
      <c r="E487" s="190">
        <f t="shared" si="633"/>
        <v>16</v>
      </c>
      <c r="F487" s="190" t="str">
        <f t="shared" si="680"/>
        <v>..SOP.027.01020316</v>
      </c>
      <c r="G487" s="190" t="str">
        <f>IF(ISBLANK(N487),"",CONCATENATE(LEFT(F487,15),".",INDEX(Ref!A:A,MATCH(N487,Ref!$K$1:$K$333,0))))</f>
        <v/>
      </c>
      <c r="H487" s="181"/>
      <c r="I487" s="183"/>
      <c r="J487" s="181"/>
      <c r="K487" s="181"/>
      <c r="L487" s="182"/>
      <c r="M487" s="182"/>
      <c r="N487" s="183"/>
      <c r="O487" s="182"/>
      <c r="P487" s="182"/>
      <c r="Q487" s="184"/>
      <c r="R487" s="184"/>
      <c r="S487" s="185" t="str">
        <f>IFERROR(CLEAN(INDEX('Risk Matrix'!$H$7:$L$11,MATCH($Q487,'Risk Matrix'!$F$7:$F$11,0),MATCH($R487,'Risk Matrix'!$H$6:$L$6,0))),"")</f>
        <v/>
      </c>
      <c r="T487" s="85" t="str">
        <f>IF(LEFT($B487,7)=RIGHT('SOP template'!$B$1,7),_xlfn.NUMBERVALUE(RIGHT($S487,2)),"")</f>
        <v/>
      </c>
      <c r="U487" s="182"/>
      <c r="V487" s="182"/>
      <c r="W487" s="182"/>
      <c r="X487" s="182"/>
      <c r="Y487" s="182"/>
      <c r="Z487" s="183"/>
      <c r="AA487" s="186" t="str">
        <f>IFERROR(VLOOKUP(IFERROR(LEFT(S487,4),""),Ref!$AF$2:$AG$5,2,0),"")</f>
        <v/>
      </c>
      <c r="AB487" s="146"/>
      <c r="AC487" s="218"/>
      <c r="AD487" s="187" t="str">
        <f>IFERROR(VLOOKUP(AC487,'Training Matrix'!B$4:C$24,2,0),"")</f>
        <v/>
      </c>
      <c r="AE487" s="218"/>
      <c r="AF487" s="188" t="str">
        <f t="shared" si="645"/>
        <v/>
      </c>
      <c r="AG487" s="189" t="str">
        <f t="shared" ca="1" si="646"/>
        <v/>
      </c>
      <c r="AH487" s="50" t="str">
        <f t="shared" ref="AH487" si="686">IF(OR(AC487="",AE487=""),"",CONCATENATE(AC487,"_",K472,"_",L472))</f>
        <v/>
      </c>
    </row>
    <row r="488" spans="1:34" x14ac:dyDescent="0.25">
      <c r="A488" s="5" t="str">
        <f>IF(LEFT(F488,15)='SOP template'!$B$1,1,"")</f>
        <v/>
      </c>
      <c r="B488" s="190" t="str">
        <f t="shared" si="679"/>
        <v>SOP.027.17</v>
      </c>
      <c r="C488" s="190" t="str">
        <f t="shared" si="667"/>
        <v>SOP.027.</v>
      </c>
      <c r="D488" s="190" t="str">
        <f t="shared" si="668"/>
        <v>SOP.027.</v>
      </c>
      <c r="E488" s="190">
        <f t="shared" si="633"/>
        <v>17</v>
      </c>
      <c r="F488" s="190" t="str">
        <f t="shared" si="680"/>
        <v>..SOP.027.01020317</v>
      </c>
      <c r="G488" s="190" t="str">
        <f>IF(ISBLANK(N488),"",CONCATENATE(LEFT(F488,15),".",INDEX(Ref!A:A,MATCH(N488,Ref!$K$1:$K$333,0))))</f>
        <v/>
      </c>
      <c r="H488" s="181"/>
      <c r="I488" s="183"/>
      <c r="J488" s="181"/>
      <c r="K488" s="181"/>
      <c r="L488" s="182"/>
      <c r="M488" s="182"/>
      <c r="N488" s="183"/>
      <c r="O488" s="182"/>
      <c r="P488" s="182"/>
      <c r="Q488" s="184"/>
      <c r="R488" s="184"/>
      <c r="S488" s="185" t="str">
        <f>IFERROR(CLEAN(INDEX('Risk Matrix'!$H$7:$L$11,MATCH($Q488,'Risk Matrix'!$F$7:$F$11,0),MATCH($R488,'Risk Matrix'!$H$6:$L$6,0))),"")</f>
        <v/>
      </c>
      <c r="T488" s="85" t="str">
        <f>IF(LEFT($B488,7)=RIGHT('SOP template'!$B$1,7),_xlfn.NUMBERVALUE(RIGHT($S488,2)),"")</f>
        <v/>
      </c>
      <c r="U488" s="182"/>
      <c r="V488" s="182"/>
      <c r="W488" s="182"/>
      <c r="X488" s="182"/>
      <c r="Y488" s="182"/>
      <c r="Z488" s="183"/>
      <c r="AA488" s="186" t="str">
        <f>IFERROR(VLOOKUP(IFERROR(LEFT(S488,4),""),Ref!$AF$2:$AG$5,2,0),"")</f>
        <v/>
      </c>
      <c r="AB488" s="146"/>
      <c r="AC488" s="218"/>
      <c r="AD488" s="187" t="str">
        <f>IFERROR(VLOOKUP(AC488,'Training Matrix'!B$4:C$24,2,0),"")</f>
        <v/>
      </c>
      <c r="AE488" s="218"/>
      <c r="AF488" s="188" t="str">
        <f t="shared" si="645"/>
        <v/>
      </c>
      <c r="AG488" s="189" t="str">
        <f t="shared" ca="1" si="646"/>
        <v/>
      </c>
      <c r="AH488" s="50" t="str">
        <f t="shared" ref="AH488" si="687">IF(OR(AC488="",AE488=""),"",CONCATENATE(AC488,"_",K472,"_",L472))</f>
        <v/>
      </c>
    </row>
    <row r="489" spans="1:34" x14ac:dyDescent="0.25">
      <c r="A489" s="5" t="str">
        <f>IF(LEFT(F489,15)='SOP template'!$B$1,1,"")</f>
        <v/>
      </c>
      <c r="B489" s="190" t="str">
        <f t="shared" si="679"/>
        <v>SOP.027.18</v>
      </c>
      <c r="C489" s="190" t="str">
        <f t="shared" si="667"/>
        <v>SOP.027.</v>
      </c>
      <c r="D489" s="190" t="str">
        <f t="shared" si="668"/>
        <v>SOP.027.</v>
      </c>
      <c r="E489" s="190">
        <f t="shared" si="633"/>
        <v>18</v>
      </c>
      <c r="F489" s="190" t="str">
        <f t="shared" si="680"/>
        <v>..SOP.027.01020318</v>
      </c>
      <c r="G489" s="190" t="str">
        <f>IF(ISBLANK(N489),"",CONCATENATE(LEFT(F489,15),".",INDEX(Ref!A:A,MATCH(N489,Ref!$K$1:$K$333,0))))</f>
        <v/>
      </c>
      <c r="H489" s="181"/>
      <c r="I489" s="183"/>
      <c r="J489" s="181"/>
      <c r="K489" s="181"/>
      <c r="L489" s="182"/>
      <c r="M489" s="182"/>
      <c r="N489" s="183"/>
      <c r="O489" s="182"/>
      <c r="P489" s="182"/>
      <c r="Q489" s="184"/>
      <c r="R489" s="184"/>
      <c r="S489" s="185" t="str">
        <f>IFERROR(CLEAN(INDEX('Risk Matrix'!$H$7:$L$11,MATCH($Q489,'Risk Matrix'!$F$7:$F$11,0),MATCH($R489,'Risk Matrix'!$H$6:$L$6,0))),"")</f>
        <v/>
      </c>
      <c r="T489" s="85" t="str">
        <f>IF(LEFT($B489,7)=RIGHT('SOP template'!$B$1,7),_xlfn.NUMBERVALUE(RIGHT($S489,2)),"")</f>
        <v/>
      </c>
      <c r="U489" s="182"/>
      <c r="V489" s="182"/>
      <c r="W489" s="182"/>
      <c r="X489" s="182"/>
      <c r="Y489" s="182"/>
      <c r="Z489" s="183"/>
      <c r="AA489" s="186" t="str">
        <f>IFERROR(VLOOKUP(IFERROR(LEFT(S489,4),""),Ref!$AF$2:$AG$5,2,0),"")</f>
        <v/>
      </c>
      <c r="AB489" s="146"/>
      <c r="AC489" s="218"/>
      <c r="AD489" s="187" t="str">
        <f>IFERROR(VLOOKUP(AC489,'Training Matrix'!B$4:C$24,2,0),"")</f>
        <v/>
      </c>
      <c r="AE489" s="218"/>
      <c r="AF489" s="188" t="str">
        <f t="shared" si="645"/>
        <v/>
      </c>
      <c r="AG489" s="189" t="str">
        <f t="shared" ca="1" si="646"/>
        <v/>
      </c>
      <c r="AH489" s="50" t="str">
        <f t="shared" ref="AH489" si="688">IF(OR(AC489="",AE489=""),"",CONCATENATE(AC489,"_",K472,"_",L472))</f>
        <v/>
      </c>
    </row>
    <row r="490" spans="1:34" x14ac:dyDescent="0.25">
      <c r="A490" s="5" t="str">
        <f>IF(LEFT(F490,15)='SOP template'!$B$1,1,"")</f>
        <v/>
      </c>
      <c r="B490" s="179" t="str">
        <f t="shared" ref="B490" si="689">IF(ISBLANK($K490),CONCATENATE($B$2,".",TEXT(J490,"000"),".",$E490),CONCATENATE(RIGHT($K490,7),".1"))</f>
        <v>SOP.028.1</v>
      </c>
      <c r="C490" s="179" t="str">
        <f>IF(ISBLANK($K490),CONCATENATE(LEFT(#REF!,8),IF($E490=1,1.1,IF($E490=2,1.4,IF($E490=3,2,IF($E490=4,2.4,IF($E490=5,3,IF($E490=6,3.4,IF($E490=7,4,IF($E490=8,4.4,IF($E490=9,5,IF($E490=10,5.4,IF($E490=11,6,IF($E490=12,6.4,""))))))))))))),CONCATENATE(RIGHT($K490,7),".1"))</f>
        <v>SOP.028.1</v>
      </c>
      <c r="D490" s="179" t="str">
        <f>IF(ISBLANK($K490),CONCATENATE(LEFT(#REF!,8),IF($E490=1,1,IF($E490=2,1.3,IF($E490=3,1.5,IF($E490=4,2,IF($E490=5,2.3,IF($E490=6,2.5,IF($E490=7,3,IF($E490=8,3.3,IF($E490=9,3.5,IF($E490=10,4,IF($E490=11,4.3,IF($E490=12,4.5,""))))))))))))),CONCATENATE(RIGHT($K490,7),".1"))</f>
        <v>SOP.028.1</v>
      </c>
      <c r="E490" s="179">
        <f t="shared" si="633"/>
        <v>1</v>
      </c>
      <c r="F490" s="179" t="str">
        <f t="shared" ref="F490" si="690">K490&amp;"."&amp;TEXT(E490,"00")</f>
        <v>..SOP.028.01</v>
      </c>
      <c r="G490" s="179" t="str">
        <f>IF(ISBLANK(N490),"",CONCATENATE(LEFT(F490,15),".",INDEX(Ref!A:A,MATCH(N490,Ref!$K$1:$K$333,0))))</f>
        <v/>
      </c>
      <c r="H490" s="217"/>
      <c r="I490" s="217"/>
      <c r="J490" s="180">
        <v>28</v>
      </c>
      <c r="K490" s="181" t="str">
        <f>IFERROR(CONCATENATE(INDEX(Ref!$Z$2:$Z$8,MATCH(H490,Ref!$AA$2:$AA$8,0)),".",I490,".SOP.",TEXT(J490,"000")),CONCATENATE(H490,".",I490,".SOP.",TEXT(J490,"000")))</f>
        <v>..SOP.028</v>
      </c>
      <c r="L490" s="192"/>
      <c r="M490" s="182"/>
      <c r="N490" s="183"/>
      <c r="O490" s="182"/>
      <c r="P490" s="182"/>
      <c r="Q490" s="184"/>
      <c r="R490" s="184"/>
      <c r="S490" s="185" t="str">
        <f>IFERROR(CLEAN(INDEX('Risk Matrix'!$H$7:$L$11,MATCH($Q490,'Risk Matrix'!$F$7:$F$11,0),MATCH($R490,'Risk Matrix'!$H$6:$L$6,0))),"")</f>
        <v/>
      </c>
      <c r="T490" s="85" t="str">
        <f>IF(LEFT($B490,7)=RIGHT('SOP template'!$B$1,7),_xlfn.NUMBERVALUE(RIGHT($S490,2)),"")</f>
        <v/>
      </c>
      <c r="U490" s="182"/>
      <c r="V490" s="182"/>
      <c r="W490" s="182"/>
      <c r="X490" s="182"/>
      <c r="Y490" s="182"/>
      <c r="Z490" s="182"/>
      <c r="AA490" s="186" t="str">
        <f>IFERROR(VLOOKUP(IFERROR(LEFT(S490,4),""),Ref!$AF$2:$AG$5,2,0),"")</f>
        <v/>
      </c>
      <c r="AB490" s="186">
        <f>MIN($AA490:$AA507)</f>
        <v>0</v>
      </c>
      <c r="AC490" s="218"/>
      <c r="AD490" s="187" t="str">
        <f>IFERROR(VLOOKUP(AC490,'Training Matrix'!B$4:C$24,2,0),"")</f>
        <v/>
      </c>
      <c r="AE490" s="218"/>
      <c r="AF490" s="188" t="str">
        <f t="shared" si="645"/>
        <v/>
      </c>
      <c r="AG490" s="189" t="str">
        <f t="shared" ca="1" si="646"/>
        <v/>
      </c>
      <c r="AH490" s="50" t="str">
        <f t="shared" ref="AH490" si="691">IF(OR(AC490="",AE490=""),"",CONCATENATE(AC490,"_",K490,"_",L490))</f>
        <v/>
      </c>
    </row>
    <row r="491" spans="1:34" x14ac:dyDescent="0.25">
      <c r="A491" s="5" t="str">
        <f>IF(LEFT(F491,15)='SOP template'!$B$1,1,"")</f>
        <v/>
      </c>
      <c r="B491" s="190" t="str">
        <f t="shared" ref="B491:B499" si="692">CONCATENATE(LEFT(B490,8),E491)</f>
        <v>SOP.028.2</v>
      </c>
      <c r="C491" s="190" t="str">
        <f t="shared" ref="C491" si="693">IF(ISBLANK($K491),CONCATENATE(LEFT($B490,8),IF($E491=1,1.1,IF($E491=2,1.4,IF($E491=3,2,IF($E491=4,2.4,IF($E491=5,3,IF($E491=6,3.4,IF($E491=7,4,IF($E491=8,4.4,IF($E491=9,5,IF($E491=10,5.4,IF($E491=11,6,IF($E491=12,6.4,""))))))))))))),CONCATENATE(RIGHT($K491,7),".1"))</f>
        <v>SOP.028.1.4</v>
      </c>
      <c r="D491" s="190" t="str">
        <f t="shared" ref="D491" si="694">IF(ISBLANK($K491),CONCATENATE(LEFT($B490,8),IF($E491=1,1,IF($E491=2,1.3,IF($E491=3,1.5,IF($E491=4,2,IF($E491=5,2.3,IF($E491=6,2.5,IF($E491=7,3,IF($E491=8,3.3,IF($E491=9,3.5,IF($E491=10,4,IF($E491=11,4.3,IF($E491=12,4.5,""))))))))))))),CONCATENATE(RIGHT($K491,7),".1"))</f>
        <v>SOP.028.1.3</v>
      </c>
      <c r="E491" s="190">
        <f t="shared" si="633"/>
        <v>2</v>
      </c>
      <c r="F491" s="190" t="str">
        <f t="shared" ref="F491:F499" si="695">IF(K491=0,LEFT(F490,16)&amp;TEXT(E491,"00"),K491&amp;"."&amp;TEXT(E491,"00"))</f>
        <v>..SOP.028.0102</v>
      </c>
      <c r="G491" s="190" t="str">
        <f>IF(ISBLANK(N491),"",CONCATENATE(LEFT(F491,15),".",INDEX(Ref!A:A,MATCH(N491,Ref!$K$1:$K$333,0))))</f>
        <v/>
      </c>
      <c r="H491" s="181"/>
      <c r="I491" s="183"/>
      <c r="J491" s="181"/>
      <c r="K491" s="181"/>
      <c r="L491" s="182"/>
      <c r="M491" s="182"/>
      <c r="N491" s="183"/>
      <c r="O491" s="182"/>
      <c r="P491" s="182"/>
      <c r="Q491" s="184"/>
      <c r="R491" s="184"/>
      <c r="S491" s="185" t="str">
        <f>IFERROR(CLEAN(INDEX('Risk Matrix'!$H$7:$L$11,MATCH($Q491,'Risk Matrix'!$F$7:$F$11,0),MATCH($R491,'Risk Matrix'!$H$6:$L$6,0))),"")</f>
        <v/>
      </c>
      <c r="T491" s="85" t="str">
        <f>IF(LEFT($B491,7)=RIGHT('SOP template'!$B$1,7),_xlfn.NUMBERVALUE(RIGHT($S491,2)),"")</f>
        <v/>
      </c>
      <c r="U491" s="182"/>
      <c r="V491" s="182"/>
      <c r="W491" s="182"/>
      <c r="Y491" s="182"/>
      <c r="Z491" s="183"/>
      <c r="AA491" s="186" t="str">
        <f>IFERROR(VLOOKUP(IFERROR(LEFT(S491,4),""),Ref!$AF$2:$AG$5,2,0),"")</f>
        <v/>
      </c>
      <c r="AB491" s="146"/>
      <c r="AC491" s="218"/>
      <c r="AD491" s="187" t="str">
        <f>IFERROR(VLOOKUP(AC491,'Training Matrix'!B$4:C$24,2,0),"")</f>
        <v/>
      </c>
      <c r="AE491" s="218"/>
      <c r="AF491" s="188" t="str">
        <f t="shared" si="645"/>
        <v/>
      </c>
      <c r="AG491" s="189" t="str">
        <f t="shared" ca="1" si="646"/>
        <v/>
      </c>
      <c r="AH491" s="50" t="str">
        <f t="shared" ref="AH491" si="696">IF(OR(AC491="",AE491=""),"",CONCATENATE(AC491,"_",K490,"_",L490))</f>
        <v/>
      </c>
    </row>
    <row r="492" spans="1:34" x14ac:dyDescent="0.25">
      <c r="A492" s="5" t="str">
        <f>IF(LEFT(F492,15)='SOP template'!$B$1,1,"")</f>
        <v/>
      </c>
      <c r="B492" s="190" t="str">
        <f t="shared" si="692"/>
        <v>SOP.028.3</v>
      </c>
      <c r="C492" s="190" t="str">
        <f t="shared" si="667"/>
        <v>SOP.028.2</v>
      </c>
      <c r="D492" s="190" t="str">
        <f t="shared" si="668"/>
        <v>SOP.028.1.5</v>
      </c>
      <c r="E492" s="190">
        <f t="shared" si="633"/>
        <v>3</v>
      </c>
      <c r="F492" s="190" t="str">
        <f t="shared" si="695"/>
        <v>..SOP.028.010203</v>
      </c>
      <c r="G492" s="190" t="str">
        <f>IF(ISBLANK(N492),"",CONCATENATE(LEFT(F492,15),".",INDEX(Ref!A:A,MATCH(N492,Ref!$K$1:$K$333,0))))</f>
        <v/>
      </c>
      <c r="H492" s="181"/>
      <c r="I492" s="183"/>
      <c r="J492" s="181"/>
      <c r="K492" s="181"/>
      <c r="L492" s="182"/>
      <c r="M492" s="182"/>
      <c r="N492" s="183"/>
      <c r="O492" s="182"/>
      <c r="P492" s="182"/>
      <c r="Q492" s="184"/>
      <c r="R492" s="184"/>
      <c r="S492" s="185" t="str">
        <f>IFERROR(CLEAN(INDEX('Risk Matrix'!$H$7:$L$11,MATCH($Q492,'Risk Matrix'!$F$7:$F$11,0),MATCH($R492,'Risk Matrix'!$H$6:$L$6,0))),"")</f>
        <v/>
      </c>
      <c r="T492" s="85" t="str">
        <f>IF(LEFT($B492,7)=RIGHT('SOP template'!$B$1,7),_xlfn.NUMBERVALUE(RIGHT($S492,2)),"")</f>
        <v/>
      </c>
      <c r="U492" s="182"/>
      <c r="V492" s="182"/>
      <c r="W492" s="182"/>
      <c r="X492" s="182"/>
      <c r="Y492" s="182"/>
      <c r="Z492" s="183"/>
      <c r="AA492" s="186" t="str">
        <f>IFERROR(VLOOKUP(IFERROR(LEFT(S492,4),""),Ref!$AF$2:$AG$5,2,0),"")</f>
        <v/>
      </c>
      <c r="AB492" s="146"/>
      <c r="AC492" s="218"/>
      <c r="AD492" s="187" t="str">
        <f>IFERROR(VLOOKUP(AC492,'Training Matrix'!B$4:C$24,2,0),"")</f>
        <v/>
      </c>
      <c r="AE492" s="218"/>
      <c r="AF492" s="188" t="str">
        <f t="shared" si="645"/>
        <v/>
      </c>
      <c r="AG492" s="189" t="str">
        <f t="shared" ca="1" si="646"/>
        <v/>
      </c>
      <c r="AH492" s="50" t="str">
        <f t="shared" ref="AH492" si="697">IF(OR(AC492="",AE492=""),"",CONCATENATE(AC492,"_",K490,"_",L490))</f>
        <v/>
      </c>
    </row>
    <row r="493" spans="1:34" x14ac:dyDescent="0.25">
      <c r="A493" s="5" t="str">
        <f>IF(LEFT(F493,15)='SOP template'!$B$1,1,"")</f>
        <v/>
      </c>
      <c r="B493" s="190" t="str">
        <f t="shared" si="692"/>
        <v>SOP.028.4</v>
      </c>
      <c r="C493" s="190" t="str">
        <f t="shared" si="667"/>
        <v>SOP.028.2.4</v>
      </c>
      <c r="D493" s="190" t="str">
        <f t="shared" si="668"/>
        <v>SOP.028.2</v>
      </c>
      <c r="E493" s="190">
        <f t="shared" si="633"/>
        <v>4</v>
      </c>
      <c r="F493" s="190" t="str">
        <f t="shared" si="695"/>
        <v>..SOP.028.01020304</v>
      </c>
      <c r="G493" s="190" t="str">
        <f>IF(ISBLANK(N493),"",CONCATENATE(LEFT(F493,15),".",INDEX(Ref!A:A,MATCH(N493,Ref!$K$1:$K$333,0))))</f>
        <v/>
      </c>
      <c r="H493" s="181"/>
      <c r="I493" s="183"/>
      <c r="J493" s="181"/>
      <c r="K493" s="181"/>
      <c r="L493" s="182"/>
      <c r="M493" s="182"/>
      <c r="N493" s="183"/>
      <c r="O493" s="182"/>
      <c r="P493" s="182"/>
      <c r="Q493" s="184"/>
      <c r="R493" s="184"/>
      <c r="S493" s="185" t="str">
        <f>IFERROR(CLEAN(INDEX('Risk Matrix'!$H$7:$L$11,MATCH($Q493,'Risk Matrix'!$F$7:$F$11,0),MATCH($R493,'Risk Matrix'!$H$6:$L$6,0))),"")</f>
        <v/>
      </c>
      <c r="T493" s="85" t="str">
        <f>IF(LEFT($B493,7)=RIGHT('SOP template'!$B$1,7),_xlfn.NUMBERVALUE(RIGHT($S493,2)),"")</f>
        <v/>
      </c>
      <c r="U493" s="182"/>
      <c r="V493" s="182"/>
      <c r="W493" s="182"/>
      <c r="X493" s="182"/>
      <c r="Y493" s="182"/>
      <c r="Z493" s="183"/>
      <c r="AA493" s="186" t="str">
        <f>IFERROR(VLOOKUP(IFERROR(LEFT(S493,4),""),Ref!$AF$2:$AG$5,2,0),"")</f>
        <v/>
      </c>
      <c r="AB493" s="146"/>
      <c r="AC493" s="218"/>
      <c r="AD493" s="187" t="str">
        <f>IFERROR(VLOOKUP(AC493,'Training Matrix'!B$4:C$24,2,0),"")</f>
        <v/>
      </c>
      <c r="AE493" s="218"/>
      <c r="AF493" s="188" t="str">
        <f t="shared" si="645"/>
        <v/>
      </c>
      <c r="AG493" s="189" t="str">
        <f t="shared" ca="1" si="646"/>
        <v/>
      </c>
      <c r="AH493" s="50" t="str">
        <f t="shared" ref="AH493" si="698">IF(OR(AC493="",AE493=""),"",CONCATENATE(AC493,"_",K490,"_",L490))</f>
        <v/>
      </c>
    </row>
    <row r="494" spans="1:34" x14ac:dyDescent="0.25">
      <c r="A494" s="5" t="str">
        <f>IF(LEFT(F494,15)='SOP template'!$B$1,1,"")</f>
        <v/>
      </c>
      <c r="B494" s="190" t="str">
        <f t="shared" si="692"/>
        <v>SOP.028.5</v>
      </c>
      <c r="C494" s="190" t="str">
        <f t="shared" si="667"/>
        <v>SOP.028.3</v>
      </c>
      <c r="D494" s="190" t="str">
        <f t="shared" si="668"/>
        <v>SOP.028.2.3</v>
      </c>
      <c r="E494" s="190">
        <f t="shared" si="633"/>
        <v>5</v>
      </c>
      <c r="F494" s="190" t="str">
        <f t="shared" si="695"/>
        <v>..SOP.028.01020305</v>
      </c>
      <c r="G494" s="190" t="str">
        <f>IF(ISBLANK(N494),"",CONCATENATE(LEFT(F494,15),".",INDEX(Ref!A:A,MATCH(N494,Ref!$K$1:$K$333,0))))</f>
        <v/>
      </c>
      <c r="H494" s="181"/>
      <c r="I494" s="183"/>
      <c r="J494" s="181"/>
      <c r="K494" s="181"/>
      <c r="L494" s="182"/>
      <c r="M494" s="182"/>
      <c r="N494" s="183"/>
      <c r="O494" s="182"/>
      <c r="P494" s="182"/>
      <c r="Q494" s="184"/>
      <c r="R494" s="184"/>
      <c r="S494" s="185" t="str">
        <f>IFERROR(CLEAN(INDEX('Risk Matrix'!$H$7:$L$11,MATCH($Q494,'Risk Matrix'!$F$7:$F$11,0),MATCH($R494,'Risk Matrix'!$H$6:$L$6,0))),"")</f>
        <v/>
      </c>
      <c r="T494" s="85" t="str">
        <f>IF(LEFT($B494,7)=RIGHT('SOP template'!$B$1,7),_xlfn.NUMBERVALUE(RIGHT($S494,2)),"")</f>
        <v/>
      </c>
      <c r="U494" s="182"/>
      <c r="V494" s="182"/>
      <c r="W494" s="182"/>
      <c r="X494" s="182"/>
      <c r="Y494" s="182"/>
      <c r="Z494" s="183"/>
      <c r="AA494" s="186" t="str">
        <f>IFERROR(VLOOKUP(IFERROR(LEFT(S494,4),""),Ref!$AF$2:$AG$5,2,0),"")</f>
        <v/>
      </c>
      <c r="AB494" s="146"/>
      <c r="AC494" s="218"/>
      <c r="AD494" s="187" t="str">
        <f>IFERROR(VLOOKUP(AC494,'Training Matrix'!B$4:C$24,2,0),"")</f>
        <v/>
      </c>
      <c r="AE494" s="218"/>
      <c r="AF494" s="188" t="str">
        <f t="shared" si="645"/>
        <v/>
      </c>
      <c r="AG494" s="189" t="str">
        <f t="shared" ca="1" si="646"/>
        <v/>
      </c>
      <c r="AH494" s="50" t="str">
        <f t="shared" ref="AH494" si="699">IF(OR(AC494="",AE494=""),"",CONCATENATE(AC494,"_",K490,"_",L490))</f>
        <v/>
      </c>
    </row>
    <row r="495" spans="1:34" x14ac:dyDescent="0.25">
      <c r="A495" s="5" t="str">
        <f>IF(LEFT(F495,15)='SOP template'!$B$1,1,"")</f>
        <v/>
      </c>
      <c r="B495" s="190" t="str">
        <f t="shared" si="692"/>
        <v>SOP.028.6</v>
      </c>
      <c r="C495" s="190" t="str">
        <f t="shared" si="667"/>
        <v>SOP.028.3.4</v>
      </c>
      <c r="D495" s="190" t="str">
        <f t="shared" si="668"/>
        <v>SOP.028.2.5</v>
      </c>
      <c r="E495" s="190">
        <f t="shared" si="633"/>
        <v>6</v>
      </c>
      <c r="F495" s="190" t="str">
        <f t="shared" si="695"/>
        <v>..SOP.028.01020306</v>
      </c>
      <c r="G495" s="190" t="str">
        <f>IF(ISBLANK(N495),"",CONCATENATE(LEFT(F495,15),".",INDEX(Ref!A:A,MATCH(N495,Ref!$K$1:$K$333,0))))</f>
        <v/>
      </c>
      <c r="H495" s="181"/>
      <c r="I495" s="183"/>
      <c r="J495" s="181"/>
      <c r="K495" s="181"/>
      <c r="L495" s="182"/>
      <c r="M495" s="182"/>
      <c r="N495" s="183"/>
      <c r="O495" s="182"/>
      <c r="P495" s="182"/>
      <c r="Q495" s="184"/>
      <c r="R495" s="184"/>
      <c r="S495" s="185" t="str">
        <f>IFERROR(CLEAN(INDEX('Risk Matrix'!$H$7:$L$11,MATCH($Q495,'Risk Matrix'!$F$7:$F$11,0),MATCH($R495,'Risk Matrix'!$H$6:$L$6,0))),"")</f>
        <v/>
      </c>
      <c r="T495" s="85" t="str">
        <f>IF(LEFT($B495,7)=RIGHT('SOP template'!$B$1,7),_xlfn.NUMBERVALUE(RIGHT($S495,2)),"")</f>
        <v/>
      </c>
      <c r="U495" s="182"/>
      <c r="V495" s="182"/>
      <c r="W495" s="182"/>
      <c r="X495" s="182"/>
      <c r="Y495" s="182"/>
      <c r="Z495" s="183"/>
      <c r="AA495" s="186" t="str">
        <f>IFERROR(VLOOKUP(IFERROR(LEFT(S495,4),""),Ref!$AF$2:$AG$5,2,0),"")</f>
        <v/>
      </c>
      <c r="AB495" s="146"/>
      <c r="AC495" s="218"/>
      <c r="AD495" s="187" t="str">
        <f>IFERROR(VLOOKUP(AC495,'Training Matrix'!B$4:C$24,2,0),"")</f>
        <v/>
      </c>
      <c r="AE495" s="218"/>
      <c r="AF495" s="188" t="str">
        <f t="shared" si="645"/>
        <v/>
      </c>
      <c r="AG495" s="189" t="str">
        <f t="shared" ca="1" si="646"/>
        <v/>
      </c>
      <c r="AH495" s="50" t="str">
        <f t="shared" ref="AH495" si="700">IF(OR(AC495="",AE495=""),"",CONCATENATE(AC495,"_",K490,"_",L490))</f>
        <v/>
      </c>
    </row>
    <row r="496" spans="1:34" x14ac:dyDescent="0.25">
      <c r="A496" s="5" t="str">
        <f>IF(LEFT(F496,15)='SOP template'!$B$1,1,"")</f>
        <v/>
      </c>
      <c r="B496" s="190" t="str">
        <f t="shared" si="692"/>
        <v>SOP.028.7</v>
      </c>
      <c r="C496" s="190" t="str">
        <f t="shared" si="667"/>
        <v>SOP.028.4</v>
      </c>
      <c r="D496" s="190" t="str">
        <f t="shared" si="668"/>
        <v>SOP.028.3</v>
      </c>
      <c r="E496" s="190">
        <f t="shared" si="633"/>
        <v>7</v>
      </c>
      <c r="F496" s="190" t="str">
        <f t="shared" si="695"/>
        <v>..SOP.028.01020307</v>
      </c>
      <c r="G496" s="190" t="str">
        <f>IF(ISBLANK(N496),"",CONCATENATE(LEFT(F496,15),".",INDEX(Ref!A:A,MATCH(N496,Ref!$K$1:$K$333,0))))</f>
        <v/>
      </c>
      <c r="H496" s="181"/>
      <c r="I496" s="183"/>
      <c r="J496" s="181"/>
      <c r="K496" s="181"/>
      <c r="L496" s="182"/>
      <c r="M496" s="182"/>
      <c r="N496" s="183"/>
      <c r="O496" s="182"/>
      <c r="P496" s="182"/>
      <c r="Q496" s="184"/>
      <c r="R496" s="184"/>
      <c r="S496" s="185" t="str">
        <f>IFERROR(CLEAN(INDEX('Risk Matrix'!$H$7:$L$11,MATCH($Q496,'Risk Matrix'!$F$7:$F$11,0),MATCH($R496,'Risk Matrix'!$H$6:$L$6,0))),"")</f>
        <v/>
      </c>
      <c r="T496" s="85" t="str">
        <f>IF(LEFT($B496,7)=RIGHT('SOP template'!$B$1,7),_xlfn.NUMBERVALUE(RIGHT($S496,2)),"")</f>
        <v/>
      </c>
      <c r="U496" s="182"/>
      <c r="V496" s="182"/>
      <c r="W496" s="182"/>
      <c r="X496" s="182"/>
      <c r="Y496" s="182"/>
      <c r="Z496" s="183"/>
      <c r="AA496" s="186" t="str">
        <f>IFERROR(VLOOKUP(IFERROR(LEFT(S496,4),""),Ref!$AF$2:$AG$5,2,0),"")</f>
        <v/>
      </c>
      <c r="AB496" s="146"/>
      <c r="AC496" s="218"/>
      <c r="AD496" s="187" t="str">
        <f>IFERROR(VLOOKUP(AC496,'Training Matrix'!B$4:C$24,2,0),"")</f>
        <v/>
      </c>
      <c r="AE496" s="218"/>
      <c r="AF496" s="188" t="str">
        <f t="shared" si="645"/>
        <v/>
      </c>
      <c r="AG496" s="189" t="str">
        <f t="shared" ca="1" si="646"/>
        <v/>
      </c>
      <c r="AH496" s="50" t="str">
        <f t="shared" ref="AH496" si="701">IF(OR(AC496="",AE496=""),"",CONCATENATE(AC496,"_",K490,"_",L490))</f>
        <v/>
      </c>
    </row>
    <row r="497" spans="1:34" x14ac:dyDescent="0.25">
      <c r="A497" s="5" t="str">
        <f>IF(LEFT(F497,15)='SOP template'!$B$1,1,"")</f>
        <v/>
      </c>
      <c r="B497" s="190" t="str">
        <f t="shared" si="692"/>
        <v>SOP.028.8</v>
      </c>
      <c r="C497" s="190" t="str">
        <f t="shared" si="667"/>
        <v>SOP.028.4.4</v>
      </c>
      <c r="D497" s="190" t="str">
        <f t="shared" si="668"/>
        <v>SOP.028.3.3</v>
      </c>
      <c r="E497" s="190">
        <f t="shared" si="633"/>
        <v>8</v>
      </c>
      <c r="F497" s="190" t="str">
        <f t="shared" si="695"/>
        <v>..SOP.028.01020308</v>
      </c>
      <c r="G497" s="190" t="str">
        <f>IF(ISBLANK(N497),"",CONCATENATE(LEFT(F497,15),".",INDEX(Ref!A:A,MATCH(N497,Ref!$K$1:$K$333,0))))</f>
        <v/>
      </c>
      <c r="H497" s="181"/>
      <c r="I497" s="183"/>
      <c r="J497" s="181"/>
      <c r="K497" s="181"/>
      <c r="L497" s="182"/>
      <c r="M497" s="182"/>
      <c r="N497" s="183"/>
      <c r="O497" s="182"/>
      <c r="P497" s="182"/>
      <c r="Q497" s="184"/>
      <c r="R497" s="184"/>
      <c r="S497" s="185" t="str">
        <f>IFERROR(CLEAN(INDEX('Risk Matrix'!$H$7:$L$11,MATCH($Q497,'Risk Matrix'!$F$7:$F$11,0),MATCH($R497,'Risk Matrix'!$H$6:$L$6,0))),"")</f>
        <v/>
      </c>
      <c r="T497" s="85" t="str">
        <f>IF(LEFT($B497,7)=RIGHT('SOP template'!$B$1,7),_xlfn.NUMBERVALUE(RIGHT($S497,2)),"")</f>
        <v/>
      </c>
      <c r="U497" s="182"/>
      <c r="V497" s="182"/>
      <c r="W497" s="182"/>
      <c r="X497" s="182"/>
      <c r="Y497" s="182"/>
      <c r="Z497" s="183"/>
      <c r="AA497" s="186" t="str">
        <f>IFERROR(VLOOKUP(IFERROR(LEFT(S497,4),""),Ref!$AF$2:$AG$5,2,0),"")</f>
        <v/>
      </c>
      <c r="AB497" s="146"/>
      <c r="AC497" s="218"/>
      <c r="AD497" s="187" t="str">
        <f>IFERROR(VLOOKUP(AC497,'Training Matrix'!B$4:C$24,2,0),"")</f>
        <v/>
      </c>
      <c r="AE497" s="218"/>
      <c r="AF497" s="188" t="str">
        <f t="shared" si="645"/>
        <v/>
      </c>
      <c r="AG497" s="189" t="str">
        <f t="shared" ca="1" si="646"/>
        <v/>
      </c>
      <c r="AH497" s="50" t="str">
        <f t="shared" ref="AH497" si="702">IF(OR(AC497="",AE497=""),"",CONCATENATE(AC497,"_",K490,"_",L490))</f>
        <v/>
      </c>
    </row>
    <row r="498" spans="1:34" x14ac:dyDescent="0.25">
      <c r="A498" s="5" t="str">
        <f>IF(LEFT(F498,15)='SOP template'!$B$1,1,"")</f>
        <v/>
      </c>
      <c r="B498" s="190" t="str">
        <f t="shared" si="692"/>
        <v>SOP.028.9</v>
      </c>
      <c r="C498" s="190" t="str">
        <f t="shared" si="667"/>
        <v>SOP.028.5</v>
      </c>
      <c r="D498" s="190" t="str">
        <f t="shared" si="668"/>
        <v>SOP.028.3.5</v>
      </c>
      <c r="E498" s="190">
        <f t="shared" si="633"/>
        <v>9</v>
      </c>
      <c r="F498" s="190" t="str">
        <f t="shared" si="695"/>
        <v>..SOP.028.01020309</v>
      </c>
      <c r="G498" s="190" t="str">
        <f>IF(ISBLANK(N498),"",CONCATENATE(LEFT(F498,15),".",INDEX(Ref!A:A,MATCH(N498,Ref!$K$1:$K$333,0))))</f>
        <v/>
      </c>
      <c r="H498" s="181"/>
      <c r="I498" s="183"/>
      <c r="J498" s="181"/>
      <c r="K498" s="181"/>
      <c r="L498" s="182"/>
      <c r="M498" s="182"/>
      <c r="N498" s="183"/>
      <c r="O498" s="182"/>
      <c r="P498" s="182"/>
      <c r="Q498" s="184"/>
      <c r="R498" s="184"/>
      <c r="S498" s="185" t="str">
        <f>IFERROR(CLEAN(INDEX('Risk Matrix'!$H$7:$L$11,MATCH($Q498,'Risk Matrix'!$F$7:$F$11,0),MATCH($R498,'Risk Matrix'!$H$6:$L$6,0))),"")</f>
        <v/>
      </c>
      <c r="T498" s="85" t="str">
        <f>IF(LEFT($B498,7)=RIGHT('SOP template'!$B$1,7),_xlfn.NUMBERVALUE(RIGHT($S498,2)),"")</f>
        <v/>
      </c>
      <c r="U498" s="182"/>
      <c r="V498" s="182"/>
      <c r="W498" s="182"/>
      <c r="X498" s="182"/>
      <c r="Y498" s="182"/>
      <c r="Z498" s="183"/>
      <c r="AA498" s="186" t="str">
        <f>IFERROR(VLOOKUP(IFERROR(LEFT(S498,4),""),Ref!$AF$2:$AG$5,2,0),"")</f>
        <v/>
      </c>
      <c r="AB498" s="146"/>
      <c r="AC498" s="218"/>
      <c r="AD498" s="187" t="str">
        <f>IFERROR(VLOOKUP(AC498,'Training Matrix'!B$4:C$24,2,0),"")</f>
        <v/>
      </c>
      <c r="AE498" s="218"/>
      <c r="AF498" s="188" t="str">
        <f t="shared" si="645"/>
        <v/>
      </c>
      <c r="AG498" s="189" t="str">
        <f t="shared" ca="1" si="646"/>
        <v/>
      </c>
      <c r="AH498" s="50" t="str">
        <f t="shared" ref="AH498" si="703">IF(OR(AC498="",AE498=""),"",CONCATENATE(AC498,"_",K490,"_",L490))</f>
        <v/>
      </c>
    </row>
    <row r="499" spans="1:34" x14ac:dyDescent="0.25">
      <c r="A499" s="5" t="str">
        <f>IF(LEFT(F499,15)='SOP template'!$B$1,1,"")</f>
        <v/>
      </c>
      <c r="B499" s="190" t="str">
        <f t="shared" si="692"/>
        <v>SOP.028.10</v>
      </c>
      <c r="C499" s="190" t="str">
        <f t="shared" si="667"/>
        <v>SOP.028.5.4</v>
      </c>
      <c r="D499" s="190" t="str">
        <f t="shared" si="668"/>
        <v>SOP.028.4</v>
      </c>
      <c r="E499" s="190">
        <f t="shared" si="633"/>
        <v>10</v>
      </c>
      <c r="F499" s="190" t="str">
        <f t="shared" si="695"/>
        <v>..SOP.028.01020310</v>
      </c>
      <c r="G499" s="190" t="str">
        <f>IF(ISBLANK(N499),"",CONCATENATE(LEFT(F499,15),".",INDEX(Ref!A:A,MATCH(N499,Ref!$K$1:$K$333,0))))</f>
        <v/>
      </c>
      <c r="H499" s="181"/>
      <c r="I499" s="183"/>
      <c r="J499" s="181"/>
      <c r="K499" s="181"/>
      <c r="L499" s="182"/>
      <c r="M499" s="182"/>
      <c r="N499" s="183"/>
      <c r="O499" s="182"/>
      <c r="P499" s="182"/>
      <c r="Q499" s="184"/>
      <c r="R499" s="184"/>
      <c r="S499" s="185" t="str">
        <f>IFERROR(CLEAN(INDEX('Risk Matrix'!$H$7:$L$11,MATCH($Q499,'Risk Matrix'!$F$7:$F$11,0),MATCH($R499,'Risk Matrix'!$H$6:$L$6,0))),"")</f>
        <v/>
      </c>
      <c r="T499" s="85" t="str">
        <f>IF(LEFT($B499,7)=RIGHT('SOP template'!$B$1,7),_xlfn.NUMBERVALUE(RIGHT($S499,2)),"")</f>
        <v/>
      </c>
      <c r="U499" s="182"/>
      <c r="V499" s="182"/>
      <c r="W499" s="182"/>
      <c r="X499" s="182"/>
      <c r="Y499" s="182"/>
      <c r="Z499" s="183"/>
      <c r="AA499" s="186" t="str">
        <f>IFERROR(VLOOKUP(IFERROR(LEFT(S499,4),""),Ref!$AF$2:$AG$5,2,0),"")</f>
        <v/>
      </c>
      <c r="AB499" s="146"/>
      <c r="AC499" s="218"/>
      <c r="AD499" s="187" t="str">
        <f>IFERROR(VLOOKUP(AC499,'Training Matrix'!B$4:C$24,2,0),"")</f>
        <v/>
      </c>
      <c r="AE499" s="218"/>
      <c r="AF499" s="188" t="str">
        <f t="shared" si="645"/>
        <v/>
      </c>
      <c r="AG499" s="189" t="str">
        <f t="shared" ca="1" si="646"/>
        <v/>
      </c>
      <c r="AH499" s="50" t="str">
        <f t="shared" ref="AH499" si="704">IF(OR(AC499="",AE499=""),"",CONCATENATE(AC499,"_",K490,"_",L490))</f>
        <v/>
      </c>
    </row>
    <row r="500" spans="1:34" x14ac:dyDescent="0.25">
      <c r="A500" s="5" t="str">
        <f>IF(LEFT(F500,15)='SOP template'!$B$1,1,"")</f>
        <v/>
      </c>
      <c r="B500" s="190" t="str">
        <f t="shared" ref="B500:B507" si="705">CONCATENATE(LEFT(B499,8),E500)</f>
        <v>SOP.028.11</v>
      </c>
      <c r="C500" s="190" t="str">
        <f t="shared" si="667"/>
        <v>SOP.028.6</v>
      </c>
      <c r="D500" s="190" t="str">
        <f t="shared" si="668"/>
        <v>SOP.028.4.3</v>
      </c>
      <c r="E500" s="190">
        <f t="shared" si="633"/>
        <v>11</v>
      </c>
      <c r="F500" s="190" t="str">
        <f t="shared" ref="F500:F507" si="706">IF(K500=0,LEFT(F499,16)&amp;TEXT(E500,"00"),K500&amp;"."&amp;TEXT(E500,"00"))</f>
        <v>..SOP.028.01020311</v>
      </c>
      <c r="G500" s="190" t="str">
        <f>IF(ISBLANK(N500),"",CONCATENATE(LEFT(F500,15),".",INDEX(Ref!A:A,MATCH(N500,Ref!$K$1:$K$333,0))))</f>
        <v/>
      </c>
      <c r="H500" s="181"/>
      <c r="I500" s="183"/>
      <c r="J500" s="181"/>
      <c r="K500" s="181"/>
      <c r="L500" s="182"/>
      <c r="M500" s="182"/>
      <c r="N500" s="183"/>
      <c r="O500" s="182"/>
      <c r="P500" s="182"/>
      <c r="Q500" s="184"/>
      <c r="R500" s="184"/>
      <c r="S500" s="185" t="str">
        <f>IFERROR(CLEAN(INDEX('Risk Matrix'!$H$7:$L$11,MATCH($Q500,'Risk Matrix'!$F$7:$F$11,0),MATCH($R500,'Risk Matrix'!$H$6:$L$6,0))),"")</f>
        <v/>
      </c>
      <c r="T500" s="85" t="str">
        <f>IF(LEFT($B500,7)=RIGHT('SOP template'!$B$1,7),_xlfn.NUMBERVALUE(RIGHT($S500,2)),"")</f>
        <v/>
      </c>
      <c r="U500" s="182"/>
      <c r="V500" s="182"/>
      <c r="W500" s="182"/>
      <c r="X500" s="182"/>
      <c r="Y500" s="182"/>
      <c r="Z500" s="183"/>
      <c r="AA500" s="186" t="str">
        <f>IFERROR(VLOOKUP(IFERROR(LEFT(S500,4),""),Ref!$AF$2:$AG$5,2,0),"")</f>
        <v/>
      </c>
      <c r="AB500" s="146"/>
      <c r="AC500" s="218"/>
      <c r="AD500" s="187" t="str">
        <f>IFERROR(VLOOKUP(AC500,'Training Matrix'!B$4:C$24,2,0),"")</f>
        <v/>
      </c>
      <c r="AE500" s="218"/>
      <c r="AF500" s="188" t="str">
        <f t="shared" si="645"/>
        <v/>
      </c>
      <c r="AG500" s="189" t="str">
        <f t="shared" ca="1" si="646"/>
        <v/>
      </c>
      <c r="AH500" s="50" t="str">
        <f t="shared" ref="AH500" si="707">IF(OR(AC500="",AE500=""),"",CONCATENATE(AC500,"_",K490,"_",L490))</f>
        <v/>
      </c>
    </row>
    <row r="501" spans="1:34" x14ac:dyDescent="0.25">
      <c r="A501" s="5" t="str">
        <f>IF(LEFT(F501,15)='SOP template'!$B$1,1,"")</f>
        <v/>
      </c>
      <c r="B501" s="190" t="str">
        <f t="shared" si="705"/>
        <v>SOP.028.12</v>
      </c>
      <c r="C501" s="190" t="str">
        <f t="shared" si="667"/>
        <v>SOP.028.6.4</v>
      </c>
      <c r="D501" s="190" t="str">
        <f t="shared" si="668"/>
        <v>SOP.028.4.5</v>
      </c>
      <c r="E501" s="190">
        <f t="shared" si="633"/>
        <v>12</v>
      </c>
      <c r="F501" s="190" t="str">
        <f t="shared" si="706"/>
        <v>..SOP.028.01020312</v>
      </c>
      <c r="G501" s="190" t="str">
        <f>IF(ISBLANK(N501),"",CONCATENATE(LEFT(F501,15),".",INDEX(Ref!A:A,MATCH(N501,Ref!$K$1:$K$333,0))))</f>
        <v/>
      </c>
      <c r="H501" s="181"/>
      <c r="I501" s="183"/>
      <c r="J501" s="181"/>
      <c r="K501" s="181"/>
      <c r="L501" s="182"/>
      <c r="M501" s="182"/>
      <c r="N501" s="183"/>
      <c r="O501" s="182"/>
      <c r="P501" s="182"/>
      <c r="Q501" s="184"/>
      <c r="R501" s="184"/>
      <c r="S501" s="185" t="str">
        <f>IFERROR(CLEAN(INDEX('Risk Matrix'!$H$7:$L$11,MATCH($Q501,'Risk Matrix'!$F$7:$F$11,0),MATCH($R501,'Risk Matrix'!$H$6:$L$6,0))),"")</f>
        <v/>
      </c>
      <c r="T501" s="85" t="str">
        <f>IF(LEFT($B501,7)=RIGHT('SOP template'!$B$1,7),_xlfn.NUMBERVALUE(RIGHT($S501,2)),"")</f>
        <v/>
      </c>
      <c r="U501" s="182"/>
      <c r="V501" s="182"/>
      <c r="W501" s="182"/>
      <c r="X501" s="182"/>
      <c r="Y501" s="182"/>
      <c r="Z501" s="183"/>
      <c r="AA501" s="186" t="str">
        <f>IFERROR(VLOOKUP(IFERROR(LEFT(S501,4),""),Ref!$AF$2:$AG$5,2,0),"")</f>
        <v/>
      </c>
      <c r="AB501" s="146"/>
      <c r="AC501" s="218"/>
      <c r="AD501" s="187" t="str">
        <f>IFERROR(VLOOKUP(AC501,'Training Matrix'!B$4:C$24,2,0),"")</f>
        <v/>
      </c>
      <c r="AE501" s="218"/>
      <c r="AF501" s="188" t="str">
        <f t="shared" si="645"/>
        <v/>
      </c>
      <c r="AG501" s="189" t="str">
        <f t="shared" ca="1" si="646"/>
        <v/>
      </c>
      <c r="AH501" s="50" t="str">
        <f t="shared" ref="AH501" si="708">IF(OR(AC501="",AE501=""),"",CONCATENATE(AC501,"_",K490,"_",L490))</f>
        <v/>
      </c>
    </row>
    <row r="502" spans="1:34" x14ac:dyDescent="0.25">
      <c r="A502" s="5" t="str">
        <f>IF(LEFT(F502,15)='SOP template'!$B$1,1,"")</f>
        <v/>
      </c>
      <c r="B502" s="190" t="str">
        <f t="shared" si="705"/>
        <v>SOP.028.13</v>
      </c>
      <c r="C502" s="190" t="str">
        <f t="shared" si="667"/>
        <v>SOP.028.</v>
      </c>
      <c r="D502" s="190" t="str">
        <f t="shared" si="668"/>
        <v>SOP.028.</v>
      </c>
      <c r="E502" s="190">
        <f t="shared" si="633"/>
        <v>13</v>
      </c>
      <c r="F502" s="190" t="str">
        <f t="shared" si="706"/>
        <v>..SOP.028.01020313</v>
      </c>
      <c r="G502" s="190" t="str">
        <f>IF(ISBLANK(N502),"",CONCATENATE(LEFT(F502,15),".",INDEX(Ref!A:A,MATCH(N502,Ref!$K$1:$K$333,0))))</f>
        <v/>
      </c>
      <c r="H502" s="181"/>
      <c r="I502" s="183"/>
      <c r="J502" s="181"/>
      <c r="K502" s="181"/>
      <c r="L502" s="182"/>
      <c r="M502" s="182"/>
      <c r="N502" s="183"/>
      <c r="O502" s="182"/>
      <c r="P502" s="182"/>
      <c r="Q502" s="184"/>
      <c r="R502" s="184"/>
      <c r="S502" s="185" t="str">
        <f>IFERROR(CLEAN(INDEX('Risk Matrix'!$H$7:$L$11,MATCH($Q502,'Risk Matrix'!$F$7:$F$11,0),MATCH($R502,'Risk Matrix'!$H$6:$L$6,0))),"")</f>
        <v/>
      </c>
      <c r="T502" s="85" t="str">
        <f>IF(LEFT($B502,7)=RIGHT('SOP template'!$B$1,7),_xlfn.NUMBERVALUE(RIGHT($S502,2)),"")</f>
        <v/>
      </c>
      <c r="U502" s="182"/>
      <c r="V502" s="182"/>
      <c r="W502" s="182"/>
      <c r="X502" s="182"/>
      <c r="Y502" s="182"/>
      <c r="Z502" s="183"/>
      <c r="AA502" s="186" t="str">
        <f>IFERROR(VLOOKUP(IFERROR(LEFT(S502,4),""),Ref!$AF$2:$AG$5,2,0),"")</f>
        <v/>
      </c>
      <c r="AB502" s="146"/>
      <c r="AC502" s="218"/>
      <c r="AD502" s="187" t="str">
        <f>IFERROR(VLOOKUP(AC502,'Training Matrix'!B$4:C$24,2,0),"")</f>
        <v/>
      </c>
      <c r="AE502" s="218"/>
      <c r="AF502" s="188" t="str">
        <f t="shared" si="645"/>
        <v/>
      </c>
      <c r="AG502" s="189" t="str">
        <f t="shared" ca="1" si="646"/>
        <v/>
      </c>
      <c r="AH502" s="50" t="str">
        <f t="shared" ref="AH502" si="709">IF(OR(AC502="",AE502=""),"",CONCATENATE(AC502,"_",K490,"_",L490))</f>
        <v/>
      </c>
    </row>
    <row r="503" spans="1:34" x14ac:dyDescent="0.25">
      <c r="A503" s="5" t="str">
        <f>IF(LEFT(F503,15)='SOP template'!$B$1,1,"")</f>
        <v/>
      </c>
      <c r="B503" s="190" t="str">
        <f t="shared" si="705"/>
        <v>SOP.028.14</v>
      </c>
      <c r="C503" s="190" t="str">
        <f t="shared" si="667"/>
        <v>SOP.028.</v>
      </c>
      <c r="D503" s="190" t="str">
        <f t="shared" si="668"/>
        <v>SOP.028.</v>
      </c>
      <c r="E503" s="190">
        <f t="shared" si="633"/>
        <v>14</v>
      </c>
      <c r="F503" s="190" t="str">
        <f t="shared" si="706"/>
        <v>..SOP.028.01020314</v>
      </c>
      <c r="G503" s="190" t="str">
        <f>IF(ISBLANK(N503),"",CONCATENATE(LEFT(F503,15),".",INDEX(Ref!A:A,MATCH(N503,Ref!$K$1:$K$333,0))))</f>
        <v/>
      </c>
      <c r="H503" s="181"/>
      <c r="I503" s="183"/>
      <c r="J503" s="181"/>
      <c r="K503" s="181"/>
      <c r="L503" s="182"/>
      <c r="M503" s="182"/>
      <c r="N503" s="183"/>
      <c r="O503" s="182"/>
      <c r="P503" s="182"/>
      <c r="Q503" s="184"/>
      <c r="R503" s="184"/>
      <c r="S503" s="185" t="str">
        <f>IFERROR(CLEAN(INDEX('Risk Matrix'!$H$7:$L$11,MATCH($Q503,'Risk Matrix'!$F$7:$F$11,0),MATCH($R503,'Risk Matrix'!$H$6:$L$6,0))),"")</f>
        <v/>
      </c>
      <c r="T503" s="85" t="str">
        <f>IF(LEFT($B503,7)=RIGHT('SOP template'!$B$1,7),_xlfn.NUMBERVALUE(RIGHT($S503,2)),"")</f>
        <v/>
      </c>
      <c r="U503" s="182"/>
      <c r="V503" s="182"/>
      <c r="W503" s="182"/>
      <c r="X503" s="182"/>
      <c r="Y503" s="182"/>
      <c r="Z503" s="183"/>
      <c r="AA503" s="186" t="str">
        <f>IFERROR(VLOOKUP(IFERROR(LEFT(S503,4),""),Ref!$AF$2:$AG$5,2,0),"")</f>
        <v/>
      </c>
      <c r="AB503" s="146"/>
      <c r="AC503" s="218"/>
      <c r="AD503" s="187" t="str">
        <f>IFERROR(VLOOKUP(AC503,'Training Matrix'!B$4:C$24,2,0),"")</f>
        <v/>
      </c>
      <c r="AE503" s="218"/>
      <c r="AF503" s="188" t="str">
        <f t="shared" si="645"/>
        <v/>
      </c>
      <c r="AG503" s="189" t="str">
        <f t="shared" ca="1" si="646"/>
        <v/>
      </c>
      <c r="AH503" s="50" t="str">
        <f t="shared" ref="AH503" si="710">IF(OR(AC503="",AE503=""),"",CONCATENATE(AC503,"_",K490,"_",L490))</f>
        <v/>
      </c>
    </row>
    <row r="504" spans="1:34" x14ac:dyDescent="0.25">
      <c r="A504" s="5" t="str">
        <f>IF(LEFT(F504,15)='SOP template'!$B$1,1,"")</f>
        <v/>
      </c>
      <c r="B504" s="190" t="str">
        <f t="shared" si="705"/>
        <v>SOP.028.15</v>
      </c>
      <c r="C504" s="190" t="str">
        <f t="shared" si="667"/>
        <v>SOP.028.</v>
      </c>
      <c r="D504" s="190" t="str">
        <f t="shared" si="668"/>
        <v>SOP.028.</v>
      </c>
      <c r="E504" s="190">
        <f t="shared" si="633"/>
        <v>15</v>
      </c>
      <c r="F504" s="190" t="str">
        <f t="shared" si="706"/>
        <v>..SOP.028.01020315</v>
      </c>
      <c r="G504" s="190" t="str">
        <f>IF(ISBLANK(N504),"",CONCATENATE(LEFT(F504,15),".",INDEX(Ref!A:A,MATCH(N504,Ref!$K$1:$K$333,0))))</f>
        <v/>
      </c>
      <c r="H504" s="181"/>
      <c r="I504" s="183"/>
      <c r="J504" s="181"/>
      <c r="K504" s="181"/>
      <c r="L504" s="182"/>
      <c r="M504" s="182"/>
      <c r="N504" s="183"/>
      <c r="O504" s="182"/>
      <c r="P504" s="182"/>
      <c r="Q504" s="184"/>
      <c r="R504" s="184"/>
      <c r="S504" s="185" t="str">
        <f>IFERROR(CLEAN(INDEX('Risk Matrix'!$H$7:$L$11,MATCH($Q504,'Risk Matrix'!$F$7:$F$11,0),MATCH($R504,'Risk Matrix'!$H$6:$L$6,0))),"")</f>
        <v/>
      </c>
      <c r="T504" s="85" t="str">
        <f>IF(LEFT($B504,7)=RIGHT('SOP template'!$B$1,7),_xlfn.NUMBERVALUE(RIGHT($S504,2)),"")</f>
        <v/>
      </c>
      <c r="U504" s="182"/>
      <c r="V504" s="182"/>
      <c r="W504" s="182"/>
      <c r="X504" s="182"/>
      <c r="Y504" s="182"/>
      <c r="Z504" s="183"/>
      <c r="AA504" s="186" t="str">
        <f>IFERROR(VLOOKUP(IFERROR(LEFT(S504,4),""),Ref!$AF$2:$AG$5,2,0),"")</f>
        <v/>
      </c>
      <c r="AB504" s="146"/>
      <c r="AC504" s="218"/>
      <c r="AD504" s="187" t="str">
        <f>IFERROR(VLOOKUP(AC504,'Training Matrix'!B$4:C$24,2,0),"")</f>
        <v/>
      </c>
      <c r="AE504" s="218"/>
      <c r="AF504" s="188" t="str">
        <f t="shared" si="645"/>
        <v/>
      </c>
      <c r="AG504" s="189" t="str">
        <f t="shared" ca="1" si="646"/>
        <v/>
      </c>
      <c r="AH504" s="50" t="str">
        <f t="shared" ref="AH504" si="711">IF(OR(AC504="",AE504=""),"",CONCATENATE(AC504,"_",K490,"_",L490))</f>
        <v/>
      </c>
    </row>
    <row r="505" spans="1:34" x14ac:dyDescent="0.25">
      <c r="A505" s="5" t="str">
        <f>IF(LEFT(F505,15)='SOP template'!$B$1,1,"")</f>
        <v/>
      </c>
      <c r="B505" s="190" t="str">
        <f t="shared" si="705"/>
        <v>SOP.028.16</v>
      </c>
      <c r="C505" s="190" t="str">
        <f t="shared" si="667"/>
        <v>SOP.028.</v>
      </c>
      <c r="D505" s="190" t="str">
        <f t="shared" si="668"/>
        <v>SOP.028.</v>
      </c>
      <c r="E505" s="190">
        <f t="shared" si="633"/>
        <v>16</v>
      </c>
      <c r="F505" s="190" t="str">
        <f t="shared" si="706"/>
        <v>..SOP.028.01020316</v>
      </c>
      <c r="G505" s="190" t="str">
        <f>IF(ISBLANK(N505),"",CONCATENATE(LEFT(F505,15),".",INDEX(Ref!A:A,MATCH(N505,Ref!$K$1:$K$333,0))))</f>
        <v/>
      </c>
      <c r="H505" s="181"/>
      <c r="I505" s="183"/>
      <c r="J505" s="181"/>
      <c r="K505" s="181"/>
      <c r="L505" s="182"/>
      <c r="M505" s="182"/>
      <c r="N505" s="183"/>
      <c r="O505" s="182"/>
      <c r="P505" s="182"/>
      <c r="Q505" s="184"/>
      <c r="R505" s="184"/>
      <c r="S505" s="185" t="str">
        <f>IFERROR(CLEAN(INDEX('Risk Matrix'!$H$7:$L$11,MATCH($Q505,'Risk Matrix'!$F$7:$F$11,0),MATCH($R505,'Risk Matrix'!$H$6:$L$6,0))),"")</f>
        <v/>
      </c>
      <c r="T505" s="85" t="str">
        <f>IF(LEFT($B505,7)=RIGHT('SOP template'!$B$1,7),_xlfn.NUMBERVALUE(RIGHT($S505,2)),"")</f>
        <v/>
      </c>
      <c r="U505" s="182"/>
      <c r="V505" s="182"/>
      <c r="W505" s="182"/>
      <c r="X505" s="182"/>
      <c r="Y505" s="182"/>
      <c r="Z505" s="183"/>
      <c r="AA505" s="186" t="str">
        <f>IFERROR(VLOOKUP(IFERROR(LEFT(S505,4),""),Ref!$AF$2:$AG$5,2,0),"")</f>
        <v/>
      </c>
      <c r="AB505" s="146"/>
      <c r="AC505" s="218"/>
      <c r="AD505" s="187" t="str">
        <f>IFERROR(VLOOKUP(AC505,'Training Matrix'!B$4:C$24,2,0),"")</f>
        <v/>
      </c>
      <c r="AE505" s="218"/>
      <c r="AF505" s="188" t="str">
        <f t="shared" si="645"/>
        <v/>
      </c>
      <c r="AG505" s="189" t="str">
        <f t="shared" ca="1" si="646"/>
        <v/>
      </c>
      <c r="AH505" s="50" t="str">
        <f t="shared" ref="AH505" si="712">IF(OR(AC505="",AE505=""),"",CONCATENATE(AC505,"_",K490,"_",L490))</f>
        <v/>
      </c>
    </row>
    <row r="506" spans="1:34" x14ac:dyDescent="0.25">
      <c r="A506" s="5" t="str">
        <f>IF(LEFT(F506,15)='SOP template'!$B$1,1,"")</f>
        <v/>
      </c>
      <c r="B506" s="190" t="str">
        <f t="shared" si="705"/>
        <v>SOP.028.17</v>
      </c>
      <c r="C506" s="190" t="str">
        <f t="shared" si="667"/>
        <v>SOP.028.</v>
      </c>
      <c r="D506" s="190" t="str">
        <f t="shared" si="668"/>
        <v>SOP.028.</v>
      </c>
      <c r="E506" s="190">
        <f t="shared" si="633"/>
        <v>17</v>
      </c>
      <c r="F506" s="190" t="str">
        <f t="shared" si="706"/>
        <v>..SOP.028.01020317</v>
      </c>
      <c r="G506" s="190" t="str">
        <f>IF(ISBLANK(N506),"",CONCATENATE(LEFT(F506,15),".",INDEX(Ref!A:A,MATCH(N506,Ref!$K$1:$K$333,0))))</f>
        <v/>
      </c>
      <c r="H506" s="181"/>
      <c r="I506" s="183"/>
      <c r="J506" s="181"/>
      <c r="K506" s="181"/>
      <c r="L506" s="182"/>
      <c r="M506" s="182"/>
      <c r="N506" s="183"/>
      <c r="O506" s="182"/>
      <c r="P506" s="182"/>
      <c r="Q506" s="184"/>
      <c r="R506" s="184"/>
      <c r="S506" s="185" t="str">
        <f>IFERROR(CLEAN(INDEX('Risk Matrix'!$H$7:$L$11,MATCH($Q506,'Risk Matrix'!$F$7:$F$11,0),MATCH($R506,'Risk Matrix'!$H$6:$L$6,0))),"")</f>
        <v/>
      </c>
      <c r="T506" s="85" t="str">
        <f>IF(LEFT($B506,7)=RIGHT('SOP template'!$B$1,7),_xlfn.NUMBERVALUE(RIGHT($S506,2)),"")</f>
        <v/>
      </c>
      <c r="U506" s="182"/>
      <c r="V506" s="182"/>
      <c r="W506" s="182"/>
      <c r="X506" s="182"/>
      <c r="Y506" s="182"/>
      <c r="Z506" s="183"/>
      <c r="AA506" s="186" t="str">
        <f>IFERROR(VLOOKUP(IFERROR(LEFT(S506,4),""),Ref!$AF$2:$AG$5,2,0),"")</f>
        <v/>
      </c>
      <c r="AB506" s="146"/>
      <c r="AC506" s="218"/>
      <c r="AD506" s="187" t="str">
        <f>IFERROR(VLOOKUP(AC506,'Training Matrix'!B$4:C$24,2,0),"")</f>
        <v/>
      </c>
      <c r="AE506" s="218"/>
      <c r="AF506" s="188" t="str">
        <f t="shared" si="645"/>
        <v/>
      </c>
      <c r="AG506" s="189" t="str">
        <f t="shared" ca="1" si="646"/>
        <v/>
      </c>
      <c r="AH506" s="50" t="str">
        <f t="shared" ref="AH506" si="713">IF(OR(AC506="",AE506=""),"",CONCATENATE(AC506,"_",K490,"_",L490))</f>
        <v/>
      </c>
    </row>
    <row r="507" spans="1:34" x14ac:dyDescent="0.25">
      <c r="A507" s="5" t="str">
        <f>IF(LEFT(F507,15)='SOP template'!$B$1,1,"")</f>
        <v/>
      </c>
      <c r="B507" s="190" t="str">
        <f t="shared" si="705"/>
        <v>SOP.028.18</v>
      </c>
      <c r="C507" s="190" t="str">
        <f t="shared" si="667"/>
        <v>SOP.028.</v>
      </c>
      <c r="D507" s="190" t="str">
        <f t="shared" si="668"/>
        <v>SOP.028.</v>
      </c>
      <c r="E507" s="190">
        <f t="shared" si="633"/>
        <v>18</v>
      </c>
      <c r="F507" s="190" t="str">
        <f t="shared" si="706"/>
        <v>..SOP.028.01020318</v>
      </c>
      <c r="G507" s="190" t="str">
        <f>IF(ISBLANK(N507),"",CONCATENATE(LEFT(F507,15),".",INDEX(Ref!A:A,MATCH(N507,Ref!$K$1:$K$333,0))))</f>
        <v/>
      </c>
      <c r="H507" s="181"/>
      <c r="I507" s="183"/>
      <c r="J507" s="181"/>
      <c r="K507" s="181"/>
      <c r="L507" s="182"/>
      <c r="M507" s="182"/>
      <c r="N507" s="183"/>
      <c r="O507" s="182"/>
      <c r="P507" s="182"/>
      <c r="Q507" s="184"/>
      <c r="R507" s="184"/>
      <c r="S507" s="185" t="str">
        <f>IFERROR(CLEAN(INDEX('Risk Matrix'!$H$7:$L$11,MATCH($Q507,'Risk Matrix'!$F$7:$F$11,0),MATCH($R507,'Risk Matrix'!$H$6:$L$6,0))),"")</f>
        <v/>
      </c>
      <c r="T507" s="85" t="str">
        <f>IF(LEFT($B507,7)=RIGHT('SOP template'!$B$1,7),_xlfn.NUMBERVALUE(RIGHT($S507,2)),"")</f>
        <v/>
      </c>
      <c r="U507" s="182"/>
      <c r="V507" s="182"/>
      <c r="W507" s="182"/>
      <c r="X507" s="182"/>
      <c r="Y507" s="182"/>
      <c r="Z507" s="183"/>
      <c r="AA507" s="186" t="str">
        <f>IFERROR(VLOOKUP(IFERROR(LEFT(S507,4),""),Ref!$AF$2:$AG$5,2,0),"")</f>
        <v/>
      </c>
      <c r="AB507" s="146"/>
      <c r="AC507" s="218"/>
      <c r="AD507" s="187" t="str">
        <f>IFERROR(VLOOKUP(AC507,'Training Matrix'!B$4:C$24,2,0),"")</f>
        <v/>
      </c>
      <c r="AE507" s="218"/>
      <c r="AF507" s="188" t="str">
        <f t="shared" si="645"/>
        <v/>
      </c>
      <c r="AG507" s="189" t="str">
        <f t="shared" ca="1" si="646"/>
        <v/>
      </c>
      <c r="AH507" s="50" t="str">
        <f t="shared" ref="AH507" si="714">IF(OR(AC507="",AE507=""),"",CONCATENATE(AC507,"_",K490,"_",L490))</f>
        <v/>
      </c>
    </row>
    <row r="508" spans="1:34" x14ac:dyDescent="0.25">
      <c r="A508" s="5" t="str">
        <f>IF(LEFT(F508,15)='SOP template'!$B$1,1,"")</f>
        <v/>
      </c>
      <c r="B508" s="179" t="str">
        <f t="shared" ref="B508" si="715">IF(ISBLANK($K508),CONCATENATE($B$2,".",TEXT(J508,"000"),".",$E508),CONCATENATE(RIGHT($K508,7),".1"))</f>
        <v>SOP.029.1</v>
      </c>
      <c r="C508" s="179" t="str">
        <f>IF(ISBLANK($K508),CONCATENATE(LEFT(#REF!,8),IF($E508=1,1.1,IF($E508=2,1.4,IF($E508=3,2,IF($E508=4,2.4,IF($E508=5,3,IF($E508=6,3.4,IF($E508=7,4,IF($E508=8,4.4,IF($E508=9,5,IF($E508=10,5.4,IF($E508=11,6,IF($E508=12,6.4,""))))))))))))),CONCATENATE(RIGHT($K508,7),".1"))</f>
        <v>SOP.029.1</v>
      </c>
      <c r="D508" s="179" t="str">
        <f>IF(ISBLANK($K508),CONCATENATE(LEFT(#REF!,8),IF($E508=1,1,IF($E508=2,1.3,IF($E508=3,1.5,IF($E508=4,2,IF($E508=5,2.3,IF($E508=6,2.5,IF($E508=7,3,IF($E508=8,3.3,IF($E508=9,3.5,IF($E508=10,4,IF($E508=11,4.3,IF($E508=12,4.5,""))))))))))))),CONCATENATE(RIGHT($K508,7),".1"))</f>
        <v>SOP.029.1</v>
      </c>
      <c r="E508" s="179">
        <f t="shared" si="633"/>
        <v>1</v>
      </c>
      <c r="F508" s="179" t="str">
        <f t="shared" ref="F508" si="716">K508&amp;"."&amp;TEXT(E508,"00")</f>
        <v>..SOP.029.01</v>
      </c>
      <c r="G508" s="179" t="str">
        <f>IF(ISBLANK(N508),"",CONCATENATE(LEFT(F508,15),".",INDEX(Ref!A:A,MATCH(N508,Ref!$K$1:$K$333,0))))</f>
        <v/>
      </c>
      <c r="H508" s="217"/>
      <c r="I508" s="217"/>
      <c r="J508" s="180">
        <v>29</v>
      </c>
      <c r="K508" s="181" t="str">
        <f>IFERROR(CONCATENATE(INDEX(Ref!$Z$2:$Z$8,MATCH(H508,Ref!$AA$2:$AA$8,0)),".",I508,".SOP.",TEXT(J508,"000")),CONCATENATE(H508,".",I508,".SOP.",TEXT(J508,"000")))</f>
        <v>..SOP.029</v>
      </c>
      <c r="L508" s="192"/>
      <c r="M508" s="182"/>
      <c r="N508" s="183"/>
      <c r="O508" s="182"/>
      <c r="P508" s="182"/>
      <c r="Q508" s="184"/>
      <c r="R508" s="184"/>
      <c r="S508" s="185" t="str">
        <f>IFERROR(CLEAN(INDEX('Risk Matrix'!$H$7:$L$11,MATCH($Q508,'Risk Matrix'!$F$7:$F$11,0),MATCH($R508,'Risk Matrix'!$H$6:$L$6,0))),"")</f>
        <v/>
      </c>
      <c r="T508" s="85" t="str">
        <f>IF(LEFT($B508,7)=RIGHT('SOP template'!$B$1,7),_xlfn.NUMBERVALUE(RIGHT($S508,2)),"")</f>
        <v/>
      </c>
      <c r="U508" s="182"/>
      <c r="V508" s="182"/>
      <c r="W508" s="182"/>
      <c r="X508" s="182"/>
      <c r="Y508" s="182"/>
      <c r="Z508" s="182"/>
      <c r="AA508" s="186" t="str">
        <f>IFERROR(VLOOKUP(IFERROR(LEFT(S508,4),""),Ref!$AF$2:$AG$5,2,0),"")</f>
        <v/>
      </c>
      <c r="AB508" s="186">
        <f>MIN($AA508:$AA525)</f>
        <v>0</v>
      </c>
      <c r="AC508" s="218"/>
      <c r="AD508" s="187" t="str">
        <f>IFERROR(VLOOKUP(AC508,'Training Matrix'!B$4:C$24,2,0),"")</f>
        <v/>
      </c>
      <c r="AE508" s="218"/>
      <c r="AF508" s="188" t="str">
        <f t="shared" si="645"/>
        <v/>
      </c>
      <c r="AG508" s="189" t="str">
        <f t="shared" ca="1" si="646"/>
        <v/>
      </c>
      <c r="AH508" s="50" t="str">
        <f t="shared" ref="AH508" si="717">IF(OR(AC508="",AE508=""),"",CONCATENATE(AC508,"_",K508,"_",L508))</f>
        <v/>
      </c>
    </row>
    <row r="509" spans="1:34" x14ac:dyDescent="0.25">
      <c r="A509" s="5" t="str">
        <f>IF(LEFT(F509,15)='SOP template'!$B$1,1,"")</f>
        <v/>
      </c>
      <c r="B509" s="190" t="str">
        <f t="shared" ref="B509:B517" si="718">CONCATENATE(LEFT(B508,8),E509)</f>
        <v>SOP.029.2</v>
      </c>
      <c r="C509" s="190" t="str">
        <f t="shared" ref="C509:C543" si="719">IF(ISBLANK($K509),CONCATENATE(LEFT($B508,8),IF($E509=1,1.1,IF($E509=2,1.4,IF($E509=3,2,IF($E509=4,2.4,IF($E509=5,3,IF($E509=6,3.4,IF($E509=7,4,IF($E509=8,4.4,IF($E509=9,5,IF($E509=10,5.4,IF($E509=11,6,IF($E509=12,6.4,""))))))))))))),CONCATENATE(RIGHT($K509,7),".1"))</f>
        <v>SOP.029.1.4</v>
      </c>
      <c r="D509" s="190" t="str">
        <f t="shared" ref="D509:D543" si="720">IF(ISBLANK($K509),CONCATENATE(LEFT($B508,8),IF($E509=1,1,IF($E509=2,1.3,IF($E509=3,1.5,IF($E509=4,2,IF($E509=5,2.3,IF($E509=6,2.5,IF($E509=7,3,IF($E509=8,3.3,IF($E509=9,3.5,IF($E509=10,4,IF($E509=11,4.3,IF($E509=12,4.5,""))))))))))))),CONCATENATE(RIGHT($K509,7),".1"))</f>
        <v>SOP.029.1.3</v>
      </c>
      <c r="E509" s="190">
        <f t="shared" si="633"/>
        <v>2</v>
      </c>
      <c r="F509" s="190" t="str">
        <f t="shared" ref="F509:F517" si="721">IF(K509=0,LEFT(F508,16)&amp;TEXT(E509,"00"),K509&amp;"."&amp;TEXT(E509,"00"))</f>
        <v>..SOP.029.0102</v>
      </c>
      <c r="G509" s="190" t="str">
        <f>IF(ISBLANK(N509),"",CONCATENATE(LEFT(F509,15),".",INDEX(Ref!A:A,MATCH(N509,Ref!$K$1:$K$333,0))))</f>
        <v/>
      </c>
      <c r="H509" s="181"/>
      <c r="I509" s="183"/>
      <c r="J509" s="181"/>
      <c r="K509" s="181"/>
      <c r="L509" s="182"/>
      <c r="M509" s="182"/>
      <c r="N509" s="183"/>
      <c r="O509" s="182"/>
      <c r="P509" s="182"/>
      <c r="Q509" s="184"/>
      <c r="R509" s="184"/>
      <c r="S509" s="185" t="str">
        <f>IFERROR(CLEAN(INDEX('Risk Matrix'!$H$7:$L$11,MATCH($Q509,'Risk Matrix'!$F$7:$F$11,0),MATCH($R509,'Risk Matrix'!$H$6:$L$6,0))),"")</f>
        <v/>
      </c>
      <c r="T509" s="85" t="str">
        <f>IF(LEFT($B509,7)=RIGHT('SOP template'!$B$1,7),_xlfn.NUMBERVALUE(RIGHT($S509,2)),"")</f>
        <v/>
      </c>
      <c r="U509" s="182"/>
      <c r="V509" s="182"/>
      <c r="W509" s="182"/>
      <c r="X509" s="182"/>
      <c r="Y509" s="182"/>
      <c r="Z509" s="183"/>
      <c r="AA509" s="186" t="str">
        <f>IFERROR(VLOOKUP(IFERROR(LEFT(S509,4),""),Ref!$AF$2:$AG$5,2,0),"")</f>
        <v/>
      </c>
      <c r="AB509" s="146"/>
      <c r="AC509" s="218"/>
      <c r="AD509" s="187" t="str">
        <f>IFERROR(VLOOKUP(AC509,'Training Matrix'!B$4:C$24,2,0),"")</f>
        <v/>
      </c>
      <c r="AE509" s="218"/>
      <c r="AF509" s="188" t="str">
        <f t="shared" si="645"/>
        <v/>
      </c>
      <c r="AG509" s="189" t="str">
        <f t="shared" ca="1" si="646"/>
        <v/>
      </c>
      <c r="AH509" s="50" t="str">
        <f t="shared" ref="AH509" si="722">IF(OR(AC509="",AE509=""),"",CONCATENATE(AC509,"_",K508,"_",L508))</f>
        <v/>
      </c>
    </row>
    <row r="510" spans="1:34" x14ac:dyDescent="0.25">
      <c r="A510" s="5" t="str">
        <f>IF(LEFT(F510,15)='SOP template'!$B$1,1,"")</f>
        <v/>
      </c>
      <c r="B510" s="190" t="str">
        <f t="shared" si="718"/>
        <v>SOP.029.3</v>
      </c>
      <c r="C510" s="190" t="str">
        <f t="shared" si="719"/>
        <v>SOP.029.2</v>
      </c>
      <c r="D510" s="190" t="str">
        <f t="shared" si="720"/>
        <v>SOP.029.1.5</v>
      </c>
      <c r="E510" s="190">
        <f t="shared" si="633"/>
        <v>3</v>
      </c>
      <c r="F510" s="190" t="str">
        <f t="shared" si="721"/>
        <v>..SOP.029.010203</v>
      </c>
      <c r="G510" s="190" t="str">
        <f>IF(ISBLANK(N510),"",CONCATENATE(LEFT(F510,15),".",INDEX(Ref!A:A,MATCH(N510,Ref!$K$1:$K$333,0))))</f>
        <v/>
      </c>
      <c r="H510" s="181"/>
      <c r="I510" s="183"/>
      <c r="J510" s="181"/>
      <c r="K510" s="181"/>
      <c r="L510" s="182"/>
      <c r="M510" s="182"/>
      <c r="N510" s="183"/>
      <c r="O510" s="182"/>
      <c r="P510" s="182"/>
      <c r="Q510" s="184"/>
      <c r="R510" s="184"/>
      <c r="S510" s="185" t="str">
        <f>IFERROR(CLEAN(INDEX('Risk Matrix'!$H$7:$L$11,MATCH($Q510,'Risk Matrix'!$F$7:$F$11,0),MATCH($R510,'Risk Matrix'!$H$6:$L$6,0))),"")</f>
        <v/>
      </c>
      <c r="T510" s="85" t="str">
        <f>IF(LEFT($B510,7)=RIGHT('SOP template'!$B$1,7),_xlfn.NUMBERVALUE(RIGHT($S510,2)),"")</f>
        <v/>
      </c>
      <c r="U510" s="182"/>
      <c r="V510" s="182"/>
      <c r="W510" s="182"/>
      <c r="X510" s="182"/>
      <c r="Y510" s="182"/>
      <c r="Z510" s="183"/>
      <c r="AA510" s="186" t="str">
        <f>IFERROR(VLOOKUP(IFERROR(LEFT(S510,4),""),Ref!$AF$2:$AG$5,2,0),"")</f>
        <v/>
      </c>
      <c r="AB510" s="146"/>
      <c r="AC510" s="218"/>
      <c r="AD510" s="187" t="str">
        <f>IFERROR(VLOOKUP(AC510,'Training Matrix'!B$4:C$24,2,0),"")</f>
        <v/>
      </c>
      <c r="AE510" s="218"/>
      <c r="AF510" s="188" t="str">
        <f t="shared" si="645"/>
        <v/>
      </c>
      <c r="AG510" s="189" t="str">
        <f t="shared" ca="1" si="646"/>
        <v/>
      </c>
      <c r="AH510" s="50" t="str">
        <f t="shared" ref="AH510" si="723">IF(OR(AC510="",AE510=""),"",CONCATENATE(AC510,"_",K508,"_",L508))</f>
        <v/>
      </c>
    </row>
    <row r="511" spans="1:34" x14ac:dyDescent="0.25">
      <c r="A511" s="5" t="str">
        <f>IF(LEFT(F511,15)='SOP template'!$B$1,1,"")</f>
        <v/>
      </c>
      <c r="B511" s="190" t="str">
        <f t="shared" si="718"/>
        <v>SOP.029.4</v>
      </c>
      <c r="C511" s="190" t="str">
        <f t="shared" si="719"/>
        <v>SOP.029.2.4</v>
      </c>
      <c r="D511" s="190" t="str">
        <f t="shared" si="720"/>
        <v>SOP.029.2</v>
      </c>
      <c r="E511" s="190">
        <f t="shared" si="633"/>
        <v>4</v>
      </c>
      <c r="F511" s="190" t="str">
        <f t="shared" si="721"/>
        <v>..SOP.029.01020304</v>
      </c>
      <c r="G511" s="190" t="str">
        <f>IF(ISBLANK(N511),"",CONCATENATE(LEFT(F511,15),".",INDEX(Ref!A:A,MATCH(N511,Ref!$K$1:$K$333,0))))</f>
        <v/>
      </c>
      <c r="H511" s="181"/>
      <c r="I511" s="183"/>
      <c r="J511" s="181"/>
      <c r="K511" s="181"/>
      <c r="L511" s="182"/>
      <c r="M511" s="182"/>
      <c r="N511" s="183"/>
      <c r="O511" s="182"/>
      <c r="P511" s="182"/>
      <c r="Q511" s="184"/>
      <c r="R511" s="184"/>
      <c r="S511" s="185" t="str">
        <f>IFERROR(CLEAN(INDEX('Risk Matrix'!$H$7:$L$11,MATCH($Q511,'Risk Matrix'!$F$7:$F$11,0),MATCH($R511,'Risk Matrix'!$H$6:$L$6,0))),"")</f>
        <v/>
      </c>
      <c r="T511" s="85" t="str">
        <f>IF(LEFT($B511,7)=RIGHT('SOP template'!$B$1,7),_xlfn.NUMBERVALUE(RIGHT($S511,2)),"")</f>
        <v/>
      </c>
      <c r="U511" s="182"/>
      <c r="V511" s="182"/>
      <c r="W511" s="182"/>
      <c r="X511" s="182"/>
      <c r="Y511" s="182"/>
      <c r="Z511" s="183"/>
      <c r="AA511" s="186" t="str">
        <f>IFERROR(VLOOKUP(IFERROR(LEFT(S511,4),""),Ref!$AF$2:$AG$5,2,0),"")</f>
        <v/>
      </c>
      <c r="AB511" s="146"/>
      <c r="AC511" s="218"/>
      <c r="AD511" s="187" t="str">
        <f>IFERROR(VLOOKUP(AC511,'Training Matrix'!B$4:C$24,2,0),"")</f>
        <v/>
      </c>
      <c r="AE511" s="218"/>
      <c r="AF511" s="188" t="str">
        <f t="shared" si="645"/>
        <v/>
      </c>
      <c r="AG511" s="189" t="str">
        <f t="shared" ca="1" si="646"/>
        <v/>
      </c>
      <c r="AH511" s="50" t="str">
        <f t="shared" ref="AH511" si="724">IF(OR(AC511="",AE511=""),"",CONCATENATE(AC511,"_",K508,"_",L508))</f>
        <v/>
      </c>
    </row>
    <row r="512" spans="1:34" x14ac:dyDescent="0.25">
      <c r="A512" s="5" t="str">
        <f>IF(LEFT(F512,15)='SOP template'!$B$1,1,"")</f>
        <v/>
      </c>
      <c r="B512" s="190" t="str">
        <f t="shared" si="718"/>
        <v>SOP.029.5</v>
      </c>
      <c r="C512" s="190" t="str">
        <f t="shared" si="719"/>
        <v>SOP.029.3</v>
      </c>
      <c r="D512" s="190" t="str">
        <f t="shared" si="720"/>
        <v>SOP.029.2.3</v>
      </c>
      <c r="E512" s="190">
        <f t="shared" si="633"/>
        <v>5</v>
      </c>
      <c r="F512" s="190" t="str">
        <f t="shared" si="721"/>
        <v>..SOP.029.01020305</v>
      </c>
      <c r="G512" s="190" t="str">
        <f>IF(ISBLANK(N512),"",CONCATENATE(LEFT(F512,15),".",INDEX(Ref!A:A,MATCH(N512,Ref!$K$1:$K$333,0))))</f>
        <v/>
      </c>
      <c r="H512" s="181"/>
      <c r="I512" s="183"/>
      <c r="J512" s="181"/>
      <c r="K512" s="181"/>
      <c r="L512" s="182"/>
      <c r="M512" s="182"/>
      <c r="N512" s="183"/>
      <c r="O512" s="182"/>
      <c r="P512" s="182"/>
      <c r="Q512" s="184"/>
      <c r="R512" s="184"/>
      <c r="S512" s="185" t="str">
        <f>IFERROR(CLEAN(INDEX('Risk Matrix'!$H$7:$L$11,MATCH($Q512,'Risk Matrix'!$F$7:$F$11,0),MATCH($R512,'Risk Matrix'!$H$6:$L$6,0))),"")</f>
        <v/>
      </c>
      <c r="T512" s="85" t="str">
        <f>IF(LEFT($B512,7)=RIGHT('SOP template'!$B$1,7),_xlfn.NUMBERVALUE(RIGHT($S512,2)),"")</f>
        <v/>
      </c>
      <c r="U512" s="182"/>
      <c r="V512" s="182"/>
      <c r="W512" s="182"/>
      <c r="X512" s="182"/>
      <c r="Y512" s="182"/>
      <c r="Z512" s="183"/>
      <c r="AA512" s="186" t="str">
        <f>IFERROR(VLOOKUP(IFERROR(LEFT(S512,4),""),Ref!$AF$2:$AG$5,2,0),"")</f>
        <v/>
      </c>
      <c r="AB512" s="146"/>
      <c r="AC512" s="218"/>
      <c r="AD512" s="187" t="str">
        <f>IFERROR(VLOOKUP(AC512,'Training Matrix'!B$4:C$24,2,0),"")</f>
        <v/>
      </c>
      <c r="AE512" s="218"/>
      <c r="AF512" s="188" t="str">
        <f t="shared" si="645"/>
        <v/>
      </c>
      <c r="AG512" s="189" t="str">
        <f t="shared" ca="1" si="646"/>
        <v/>
      </c>
      <c r="AH512" s="50" t="str">
        <f t="shared" ref="AH512" si="725">IF(OR(AC512="",AE512=""),"",CONCATENATE(AC512,"_",K508,"_",L508))</f>
        <v/>
      </c>
    </row>
    <row r="513" spans="1:34" x14ac:dyDescent="0.25">
      <c r="A513" s="5" t="str">
        <f>IF(LEFT(F513,15)='SOP template'!$B$1,1,"")</f>
        <v/>
      </c>
      <c r="B513" s="190" t="str">
        <f t="shared" si="718"/>
        <v>SOP.029.6</v>
      </c>
      <c r="C513" s="190" t="str">
        <f t="shared" si="719"/>
        <v>SOP.029.3.4</v>
      </c>
      <c r="D513" s="190" t="str">
        <f t="shared" si="720"/>
        <v>SOP.029.2.5</v>
      </c>
      <c r="E513" s="190">
        <f t="shared" si="633"/>
        <v>6</v>
      </c>
      <c r="F513" s="190" t="str">
        <f t="shared" si="721"/>
        <v>..SOP.029.01020306</v>
      </c>
      <c r="G513" s="190" t="str">
        <f>IF(ISBLANK(N513),"",CONCATENATE(LEFT(F513,15),".",INDEX(Ref!A:A,MATCH(N513,Ref!$K$1:$K$333,0))))</f>
        <v/>
      </c>
      <c r="H513" s="181"/>
      <c r="I513" s="183"/>
      <c r="J513" s="181"/>
      <c r="K513" s="181"/>
      <c r="L513" s="182"/>
      <c r="M513" s="182"/>
      <c r="N513" s="183"/>
      <c r="O513" s="182"/>
      <c r="P513" s="182"/>
      <c r="Q513" s="184"/>
      <c r="R513" s="184"/>
      <c r="S513" s="185" t="str">
        <f>IFERROR(CLEAN(INDEX('Risk Matrix'!$H$7:$L$11,MATCH($Q513,'Risk Matrix'!$F$7:$F$11,0),MATCH($R513,'Risk Matrix'!$H$6:$L$6,0))),"")</f>
        <v/>
      </c>
      <c r="T513" s="85" t="str">
        <f>IF(LEFT($B513,7)=RIGHT('SOP template'!$B$1,7),_xlfn.NUMBERVALUE(RIGHT($S513,2)),"")</f>
        <v/>
      </c>
      <c r="U513" s="182"/>
      <c r="V513" s="182"/>
      <c r="W513" s="182"/>
      <c r="X513" s="182"/>
      <c r="Y513" s="182"/>
      <c r="Z513" s="183"/>
      <c r="AA513" s="186" t="str">
        <f>IFERROR(VLOOKUP(IFERROR(LEFT(S513,4),""),Ref!$AF$2:$AG$5,2,0),"")</f>
        <v/>
      </c>
      <c r="AB513" s="146"/>
      <c r="AC513" s="218"/>
      <c r="AD513" s="187" t="str">
        <f>IFERROR(VLOOKUP(AC513,'Training Matrix'!B$4:C$24,2,0),"")</f>
        <v/>
      </c>
      <c r="AE513" s="218"/>
      <c r="AF513" s="188" t="str">
        <f t="shared" si="645"/>
        <v/>
      </c>
      <c r="AG513" s="189" t="str">
        <f t="shared" ca="1" si="646"/>
        <v/>
      </c>
      <c r="AH513" s="50" t="str">
        <f t="shared" ref="AH513" si="726">IF(OR(AC513="",AE513=""),"",CONCATENATE(AC513,"_",K508,"_",L508))</f>
        <v/>
      </c>
    </row>
    <row r="514" spans="1:34" x14ac:dyDescent="0.25">
      <c r="A514" s="5" t="str">
        <f>IF(LEFT(F514,15)='SOP template'!$B$1,1,"")</f>
        <v/>
      </c>
      <c r="B514" s="190" t="str">
        <f t="shared" si="718"/>
        <v>SOP.029.7</v>
      </c>
      <c r="C514" s="190" t="str">
        <f t="shared" si="719"/>
        <v>SOP.029.4</v>
      </c>
      <c r="D514" s="190" t="str">
        <f t="shared" si="720"/>
        <v>SOP.029.3</v>
      </c>
      <c r="E514" s="190">
        <f t="shared" si="633"/>
        <v>7</v>
      </c>
      <c r="F514" s="190" t="str">
        <f t="shared" si="721"/>
        <v>..SOP.029.01020307</v>
      </c>
      <c r="G514" s="190" t="str">
        <f>IF(ISBLANK(N514),"",CONCATENATE(LEFT(F514,15),".",INDEX(Ref!A:A,MATCH(N514,Ref!$K$1:$K$333,0))))</f>
        <v/>
      </c>
      <c r="H514" s="181"/>
      <c r="I514" s="183"/>
      <c r="J514" s="181"/>
      <c r="K514" s="181"/>
      <c r="L514" s="182"/>
      <c r="M514" s="182"/>
      <c r="N514" s="183"/>
      <c r="O514" s="182"/>
      <c r="P514" s="182"/>
      <c r="Q514" s="184"/>
      <c r="R514" s="184"/>
      <c r="S514" s="185" t="str">
        <f>IFERROR(CLEAN(INDEX('Risk Matrix'!$H$7:$L$11,MATCH($Q514,'Risk Matrix'!$F$7:$F$11,0),MATCH($R514,'Risk Matrix'!$H$6:$L$6,0))),"")</f>
        <v/>
      </c>
      <c r="T514" s="85" t="str">
        <f>IF(LEFT($B514,7)=RIGHT('SOP template'!$B$1,7),_xlfn.NUMBERVALUE(RIGHT($S514,2)),"")</f>
        <v/>
      </c>
      <c r="U514" s="182"/>
      <c r="V514" s="182"/>
      <c r="W514" s="182"/>
      <c r="X514" s="182"/>
      <c r="Y514" s="182"/>
      <c r="Z514" s="183"/>
      <c r="AA514" s="186" t="str">
        <f>IFERROR(VLOOKUP(IFERROR(LEFT(S514,4),""),Ref!$AF$2:$AG$5,2,0),"")</f>
        <v/>
      </c>
      <c r="AB514" s="146"/>
      <c r="AC514" s="218"/>
      <c r="AD514" s="187" t="str">
        <f>IFERROR(VLOOKUP(AC514,'Training Matrix'!B$4:C$24,2,0),"")</f>
        <v/>
      </c>
      <c r="AE514" s="218"/>
      <c r="AF514" s="188" t="str">
        <f t="shared" si="645"/>
        <v/>
      </c>
      <c r="AG514" s="189" t="str">
        <f t="shared" ca="1" si="646"/>
        <v/>
      </c>
      <c r="AH514" s="50" t="str">
        <f t="shared" ref="AH514" si="727">IF(OR(AC514="",AE514=""),"",CONCATENATE(AC514,"_",K508,"_",L508))</f>
        <v/>
      </c>
    </row>
    <row r="515" spans="1:34" x14ac:dyDescent="0.25">
      <c r="A515" s="5" t="str">
        <f>IF(LEFT(F515,15)='SOP template'!$B$1,1,"")</f>
        <v/>
      </c>
      <c r="B515" s="190" t="str">
        <f t="shared" si="718"/>
        <v>SOP.029.8</v>
      </c>
      <c r="C515" s="190" t="str">
        <f t="shared" si="719"/>
        <v>SOP.029.4.4</v>
      </c>
      <c r="D515" s="190" t="str">
        <f t="shared" si="720"/>
        <v>SOP.029.3.3</v>
      </c>
      <c r="E515" s="190">
        <f t="shared" si="633"/>
        <v>8</v>
      </c>
      <c r="F515" s="190" t="str">
        <f t="shared" si="721"/>
        <v>..SOP.029.01020308</v>
      </c>
      <c r="G515" s="190" t="str">
        <f>IF(ISBLANK(N515),"",CONCATENATE(LEFT(F515,15),".",INDEX(Ref!A:A,MATCH(N515,Ref!$K$1:$K$333,0))))</f>
        <v/>
      </c>
      <c r="H515" s="181"/>
      <c r="I515" s="183"/>
      <c r="J515" s="181"/>
      <c r="K515" s="181"/>
      <c r="L515" s="182"/>
      <c r="M515" s="182"/>
      <c r="N515" s="183"/>
      <c r="O515" s="182"/>
      <c r="P515" s="182"/>
      <c r="Q515" s="184"/>
      <c r="R515" s="184"/>
      <c r="S515" s="185" t="str">
        <f>IFERROR(CLEAN(INDEX('Risk Matrix'!$H$7:$L$11,MATCH($Q515,'Risk Matrix'!$F$7:$F$11,0),MATCH($R515,'Risk Matrix'!$H$6:$L$6,0))),"")</f>
        <v/>
      </c>
      <c r="T515" s="85" t="str">
        <f>IF(LEFT($B515,7)=RIGHT('SOP template'!$B$1,7),_xlfn.NUMBERVALUE(RIGHT($S515,2)),"")</f>
        <v/>
      </c>
      <c r="U515" s="182"/>
      <c r="V515" s="182"/>
      <c r="W515" s="182"/>
      <c r="X515" s="182"/>
      <c r="Y515" s="182"/>
      <c r="Z515" s="183"/>
      <c r="AA515" s="186" t="str">
        <f>IFERROR(VLOOKUP(IFERROR(LEFT(S515,4),""),Ref!$AF$2:$AG$5,2,0),"")</f>
        <v/>
      </c>
      <c r="AB515" s="146"/>
      <c r="AC515" s="218"/>
      <c r="AD515" s="187" t="str">
        <f>IFERROR(VLOOKUP(AC515,'Training Matrix'!B$4:C$24,2,0),"")</f>
        <v/>
      </c>
      <c r="AE515" s="218"/>
      <c r="AF515" s="188" t="str">
        <f t="shared" si="645"/>
        <v/>
      </c>
      <c r="AG515" s="189" t="str">
        <f t="shared" ca="1" si="646"/>
        <v/>
      </c>
      <c r="AH515" s="50" t="str">
        <f t="shared" ref="AH515" si="728">IF(OR(AC515="",AE515=""),"",CONCATENATE(AC515,"_",K508,"_",L508))</f>
        <v/>
      </c>
    </row>
    <row r="516" spans="1:34" x14ac:dyDescent="0.25">
      <c r="A516" s="5" t="str">
        <f>IF(LEFT(F516,15)='SOP template'!$B$1,1,"")</f>
        <v/>
      </c>
      <c r="B516" s="190" t="str">
        <f t="shared" si="718"/>
        <v>SOP.029.9</v>
      </c>
      <c r="C516" s="190" t="str">
        <f t="shared" si="719"/>
        <v>SOP.029.5</v>
      </c>
      <c r="D516" s="190" t="str">
        <f t="shared" si="720"/>
        <v>SOP.029.3.5</v>
      </c>
      <c r="E516" s="190">
        <f t="shared" si="633"/>
        <v>9</v>
      </c>
      <c r="F516" s="190" t="str">
        <f t="shared" si="721"/>
        <v>..SOP.029.01020309</v>
      </c>
      <c r="G516" s="190" t="str">
        <f>IF(ISBLANK(N516),"",CONCATENATE(LEFT(F516,15),".",INDEX(Ref!A:A,MATCH(N516,Ref!$K$1:$K$333,0))))</f>
        <v/>
      </c>
      <c r="H516" s="181"/>
      <c r="I516" s="183"/>
      <c r="J516" s="181"/>
      <c r="K516" s="181"/>
      <c r="L516" s="182"/>
      <c r="M516" s="182"/>
      <c r="N516" s="183"/>
      <c r="O516" s="182"/>
      <c r="P516" s="182"/>
      <c r="Q516" s="184"/>
      <c r="R516" s="184"/>
      <c r="S516" s="185" t="str">
        <f>IFERROR(CLEAN(INDEX('Risk Matrix'!$H$7:$L$11,MATCH($Q516,'Risk Matrix'!$F$7:$F$11,0),MATCH($R516,'Risk Matrix'!$H$6:$L$6,0))),"")</f>
        <v/>
      </c>
      <c r="T516" s="85" t="str">
        <f>IF(LEFT($B516,7)=RIGHT('SOP template'!$B$1,7),_xlfn.NUMBERVALUE(RIGHT($S516,2)),"")</f>
        <v/>
      </c>
      <c r="U516" s="182"/>
      <c r="V516" s="182"/>
      <c r="W516" s="182"/>
      <c r="X516" s="182"/>
      <c r="Y516" s="182"/>
      <c r="Z516" s="183"/>
      <c r="AA516" s="186" t="str">
        <f>IFERROR(VLOOKUP(IFERROR(LEFT(S516,4),""),Ref!$AF$2:$AG$5,2,0),"")</f>
        <v/>
      </c>
      <c r="AB516" s="146"/>
      <c r="AC516" s="218"/>
      <c r="AD516" s="187" t="str">
        <f>IFERROR(VLOOKUP(AC516,'Training Matrix'!B$4:C$24,2,0),"")</f>
        <v/>
      </c>
      <c r="AE516" s="218"/>
      <c r="AF516" s="188" t="str">
        <f t="shared" si="645"/>
        <v/>
      </c>
      <c r="AG516" s="189" t="str">
        <f t="shared" ca="1" si="646"/>
        <v/>
      </c>
      <c r="AH516" s="50" t="str">
        <f t="shared" ref="AH516" si="729">IF(OR(AC516="",AE516=""),"",CONCATENATE(AC516,"_",K508,"_",L508))</f>
        <v/>
      </c>
    </row>
    <row r="517" spans="1:34" x14ac:dyDescent="0.25">
      <c r="A517" s="5" t="str">
        <f>IF(LEFT(F517,15)='SOP template'!$B$1,1,"")</f>
        <v/>
      </c>
      <c r="B517" s="190" t="str">
        <f t="shared" si="718"/>
        <v>SOP.029.10</v>
      </c>
      <c r="C517" s="190" t="str">
        <f t="shared" si="719"/>
        <v>SOP.029.5.4</v>
      </c>
      <c r="D517" s="190" t="str">
        <f t="shared" si="720"/>
        <v>SOP.029.4</v>
      </c>
      <c r="E517" s="190">
        <f t="shared" ref="E517:E543" si="730">IF(ISBLANK($K517),$E516+1,1)</f>
        <v>10</v>
      </c>
      <c r="F517" s="190" t="str">
        <f t="shared" si="721"/>
        <v>..SOP.029.01020310</v>
      </c>
      <c r="G517" s="190" t="str">
        <f>IF(ISBLANK(N517),"",CONCATENATE(LEFT(F517,15),".",INDEX(Ref!A:A,MATCH(N517,Ref!$K$1:$K$333,0))))</f>
        <v/>
      </c>
      <c r="H517" s="181"/>
      <c r="I517" s="183"/>
      <c r="J517" s="181"/>
      <c r="K517" s="181"/>
      <c r="L517" s="182"/>
      <c r="M517" s="182"/>
      <c r="N517" s="183"/>
      <c r="O517" s="182"/>
      <c r="P517" s="182"/>
      <c r="Q517" s="184"/>
      <c r="R517" s="184"/>
      <c r="S517" s="185" t="str">
        <f>IFERROR(CLEAN(INDEX('Risk Matrix'!$H$7:$L$11,MATCH($Q517,'Risk Matrix'!$F$7:$F$11,0),MATCH($R517,'Risk Matrix'!$H$6:$L$6,0))),"")</f>
        <v/>
      </c>
      <c r="T517" s="85" t="str">
        <f>IF(LEFT($B517,7)=RIGHT('SOP template'!$B$1,7),_xlfn.NUMBERVALUE(RIGHT($S517,2)),"")</f>
        <v/>
      </c>
      <c r="U517" s="182"/>
      <c r="V517" s="182"/>
      <c r="W517" s="182"/>
      <c r="X517" s="182"/>
      <c r="Y517" s="182"/>
      <c r="Z517" s="183"/>
      <c r="AA517" s="186" t="str">
        <f>IFERROR(VLOOKUP(IFERROR(LEFT(S517,4),""),Ref!$AF$2:$AG$5,2,0),"")</f>
        <v/>
      </c>
      <c r="AB517" s="146"/>
      <c r="AC517" s="218"/>
      <c r="AD517" s="187" t="str">
        <f>IFERROR(VLOOKUP(AC517,'Training Matrix'!B$4:C$24,2,0),"")</f>
        <v/>
      </c>
      <c r="AE517" s="218"/>
      <c r="AF517" s="188" t="str">
        <f t="shared" si="645"/>
        <v/>
      </c>
      <c r="AG517" s="189" t="str">
        <f t="shared" ca="1" si="646"/>
        <v/>
      </c>
      <c r="AH517" s="50" t="str">
        <f t="shared" ref="AH517" si="731">IF(OR(AC517="",AE517=""),"",CONCATENATE(AC517,"_",K508,"_",L508))</f>
        <v/>
      </c>
    </row>
    <row r="518" spans="1:34" x14ac:dyDescent="0.25">
      <c r="A518" s="5" t="str">
        <f>IF(LEFT(F518,15)='SOP template'!$B$1,1,"")</f>
        <v/>
      </c>
      <c r="B518" s="190" t="str">
        <f t="shared" ref="B518:B525" si="732">CONCATENATE(LEFT(B517,8),E518)</f>
        <v>SOP.029.11</v>
      </c>
      <c r="C518" s="190" t="str">
        <f t="shared" si="719"/>
        <v>SOP.029.6</v>
      </c>
      <c r="D518" s="190" t="str">
        <f t="shared" si="720"/>
        <v>SOP.029.4.3</v>
      </c>
      <c r="E518" s="190">
        <f t="shared" si="730"/>
        <v>11</v>
      </c>
      <c r="F518" s="190" t="str">
        <f t="shared" ref="F518:F525" si="733">IF(K518=0,LEFT(F517,16)&amp;TEXT(E518,"00"),K518&amp;"."&amp;TEXT(E518,"00"))</f>
        <v>..SOP.029.01020311</v>
      </c>
      <c r="G518" s="190" t="str">
        <f>IF(ISBLANK(N518),"",CONCATENATE(LEFT(F518,15),".",INDEX(Ref!A:A,MATCH(N518,Ref!$K$1:$K$333,0))))</f>
        <v/>
      </c>
      <c r="H518" s="181"/>
      <c r="I518" s="183"/>
      <c r="J518" s="181"/>
      <c r="K518" s="181"/>
      <c r="L518" s="182"/>
      <c r="M518" s="182"/>
      <c r="N518" s="183"/>
      <c r="O518" s="182"/>
      <c r="P518" s="182"/>
      <c r="Q518" s="184"/>
      <c r="R518" s="184"/>
      <c r="S518" s="185" t="str">
        <f>IFERROR(CLEAN(INDEX('Risk Matrix'!$H$7:$L$11,MATCH($Q518,'Risk Matrix'!$F$7:$F$11,0),MATCH($R518,'Risk Matrix'!$H$6:$L$6,0))),"")</f>
        <v/>
      </c>
      <c r="T518" s="85" t="str">
        <f>IF(LEFT($B518,7)=RIGHT('SOP template'!$B$1,7),_xlfn.NUMBERVALUE(RIGHT($S518,2)),"")</f>
        <v/>
      </c>
      <c r="U518" s="182"/>
      <c r="V518" s="182"/>
      <c r="W518" s="182"/>
      <c r="X518" s="182"/>
      <c r="Y518" s="182"/>
      <c r="Z518" s="183"/>
      <c r="AA518" s="186" t="str">
        <f>IFERROR(VLOOKUP(IFERROR(LEFT(S518,4),""),Ref!$AF$2:$AG$5,2,0),"")</f>
        <v/>
      </c>
      <c r="AB518" s="146"/>
      <c r="AC518" s="218"/>
      <c r="AD518" s="187" t="str">
        <f>IFERROR(VLOOKUP(AC518,'Training Matrix'!B$4:C$24,2,0),"")</f>
        <v/>
      </c>
      <c r="AE518" s="218"/>
      <c r="AF518" s="188" t="str">
        <f t="shared" si="645"/>
        <v/>
      </c>
      <c r="AG518" s="189" t="str">
        <f t="shared" ca="1" si="646"/>
        <v/>
      </c>
      <c r="AH518" s="50" t="str">
        <f t="shared" ref="AH518" si="734">IF(OR(AC518="",AE518=""),"",CONCATENATE(AC518,"_",K508,"_",L508))</f>
        <v/>
      </c>
    </row>
    <row r="519" spans="1:34" x14ac:dyDescent="0.25">
      <c r="A519" s="5" t="str">
        <f>IF(LEFT(F519,15)='SOP template'!$B$1,1,"")</f>
        <v/>
      </c>
      <c r="B519" s="190" t="str">
        <f t="shared" si="732"/>
        <v>SOP.029.12</v>
      </c>
      <c r="C519" s="190" t="str">
        <f t="shared" si="719"/>
        <v>SOP.029.6.4</v>
      </c>
      <c r="D519" s="190" t="str">
        <f t="shared" si="720"/>
        <v>SOP.029.4.5</v>
      </c>
      <c r="E519" s="190">
        <f t="shared" si="730"/>
        <v>12</v>
      </c>
      <c r="F519" s="190" t="str">
        <f t="shared" si="733"/>
        <v>..SOP.029.01020312</v>
      </c>
      <c r="G519" s="190" t="str">
        <f>IF(ISBLANK(N519),"",CONCATENATE(LEFT(F519,15),".",INDEX(Ref!A:A,MATCH(N519,Ref!$K$1:$K$333,0))))</f>
        <v/>
      </c>
      <c r="H519" s="181"/>
      <c r="I519" s="183"/>
      <c r="J519" s="181"/>
      <c r="K519" s="181"/>
      <c r="L519" s="182"/>
      <c r="M519" s="182"/>
      <c r="N519" s="183"/>
      <c r="O519" s="182"/>
      <c r="P519" s="182"/>
      <c r="Q519" s="184"/>
      <c r="R519" s="184"/>
      <c r="S519" s="185" t="str">
        <f>IFERROR(CLEAN(INDEX('Risk Matrix'!$H$7:$L$11,MATCH($Q519,'Risk Matrix'!$F$7:$F$11,0),MATCH($R519,'Risk Matrix'!$H$6:$L$6,0))),"")</f>
        <v/>
      </c>
      <c r="T519" s="85" t="str">
        <f>IF(LEFT($B519,7)=RIGHT('SOP template'!$B$1,7),_xlfn.NUMBERVALUE(RIGHT($S519,2)),"")</f>
        <v/>
      </c>
      <c r="U519" s="182"/>
      <c r="V519" s="182"/>
      <c r="W519" s="182"/>
      <c r="X519" s="182"/>
      <c r="Y519" s="182"/>
      <c r="Z519" s="183"/>
      <c r="AA519" s="186" t="str">
        <f>IFERROR(VLOOKUP(IFERROR(LEFT(S519,4),""),Ref!$AF$2:$AG$5,2,0),"")</f>
        <v/>
      </c>
      <c r="AB519" s="146"/>
      <c r="AC519" s="218"/>
      <c r="AD519" s="187" t="str">
        <f>IFERROR(VLOOKUP(AC519,'Training Matrix'!B$4:C$24,2,0),"")</f>
        <v/>
      </c>
      <c r="AE519" s="218"/>
      <c r="AF519" s="188" t="str">
        <f t="shared" si="645"/>
        <v/>
      </c>
      <c r="AG519" s="189" t="str">
        <f t="shared" ca="1" si="646"/>
        <v/>
      </c>
      <c r="AH519" s="50" t="str">
        <f t="shared" ref="AH519" si="735">IF(OR(AC519="",AE519=""),"",CONCATENATE(AC519,"_",K508,"_",L508))</f>
        <v/>
      </c>
    </row>
    <row r="520" spans="1:34" x14ac:dyDescent="0.25">
      <c r="A520" s="5" t="str">
        <f>IF(LEFT(F520,15)='SOP template'!$B$1,1,"")</f>
        <v/>
      </c>
      <c r="B520" s="190" t="str">
        <f t="shared" si="732"/>
        <v>SOP.029.13</v>
      </c>
      <c r="C520" s="190" t="str">
        <f t="shared" si="719"/>
        <v>SOP.029.</v>
      </c>
      <c r="D520" s="190" t="str">
        <f t="shared" si="720"/>
        <v>SOP.029.</v>
      </c>
      <c r="E520" s="190">
        <f t="shared" si="730"/>
        <v>13</v>
      </c>
      <c r="F520" s="190" t="str">
        <f t="shared" si="733"/>
        <v>..SOP.029.01020313</v>
      </c>
      <c r="G520" s="190" t="str">
        <f>IF(ISBLANK(N520),"",CONCATENATE(LEFT(F520,15),".",INDEX(Ref!A:A,MATCH(N520,Ref!$K$1:$K$333,0))))</f>
        <v/>
      </c>
      <c r="H520" s="181"/>
      <c r="I520" s="183"/>
      <c r="J520" s="181"/>
      <c r="K520" s="181"/>
      <c r="L520" s="182"/>
      <c r="M520" s="182"/>
      <c r="N520" s="183"/>
      <c r="O520" s="182"/>
      <c r="P520" s="182"/>
      <c r="Q520" s="184"/>
      <c r="R520" s="184"/>
      <c r="S520" s="185" t="str">
        <f>IFERROR(CLEAN(INDEX('Risk Matrix'!$H$7:$L$11,MATCH($Q520,'Risk Matrix'!$F$7:$F$11,0),MATCH($R520,'Risk Matrix'!$H$6:$L$6,0))),"")</f>
        <v/>
      </c>
      <c r="T520" s="85" t="str">
        <f>IF(LEFT($B520,7)=RIGHT('SOP template'!$B$1,7),_xlfn.NUMBERVALUE(RIGHT($S520,2)),"")</f>
        <v/>
      </c>
      <c r="U520" s="182"/>
      <c r="V520" s="182"/>
      <c r="W520" s="182"/>
      <c r="X520" s="182"/>
      <c r="Y520" s="182"/>
      <c r="Z520" s="183"/>
      <c r="AA520" s="186" t="str">
        <f>IFERROR(VLOOKUP(IFERROR(LEFT(S520,4),""),Ref!$AF$2:$AG$5,2,0),"")</f>
        <v/>
      </c>
      <c r="AB520" s="146"/>
      <c r="AC520" s="218"/>
      <c r="AD520" s="187" t="str">
        <f>IFERROR(VLOOKUP(AC520,'Training Matrix'!B$4:C$24,2,0),"")</f>
        <v/>
      </c>
      <c r="AE520" s="218"/>
      <c r="AF520" s="188" t="str">
        <f t="shared" si="645"/>
        <v/>
      </c>
      <c r="AG520" s="189" t="str">
        <f t="shared" ca="1" si="646"/>
        <v/>
      </c>
      <c r="AH520" s="50" t="str">
        <f t="shared" ref="AH520" si="736">IF(OR(AC520="",AE520=""),"",CONCATENATE(AC520,"_",K508,"_",L508))</f>
        <v/>
      </c>
    </row>
    <row r="521" spans="1:34" x14ac:dyDescent="0.25">
      <c r="A521" s="5" t="str">
        <f>IF(LEFT(F521,15)='SOP template'!$B$1,1,"")</f>
        <v/>
      </c>
      <c r="B521" s="190" t="str">
        <f t="shared" si="732"/>
        <v>SOP.029.14</v>
      </c>
      <c r="C521" s="190" t="str">
        <f t="shared" si="719"/>
        <v>SOP.029.</v>
      </c>
      <c r="D521" s="190" t="str">
        <f t="shared" si="720"/>
        <v>SOP.029.</v>
      </c>
      <c r="E521" s="190">
        <f t="shared" si="730"/>
        <v>14</v>
      </c>
      <c r="F521" s="190" t="str">
        <f t="shared" si="733"/>
        <v>..SOP.029.01020314</v>
      </c>
      <c r="G521" s="190" t="str">
        <f>IF(ISBLANK(N521),"",CONCATENATE(LEFT(F521,15),".",INDEX(Ref!A:A,MATCH(N521,Ref!$K$1:$K$333,0))))</f>
        <v/>
      </c>
      <c r="H521" s="181"/>
      <c r="I521" s="183"/>
      <c r="J521" s="181"/>
      <c r="K521" s="181"/>
      <c r="L521" s="182"/>
      <c r="M521" s="182"/>
      <c r="N521" s="183"/>
      <c r="O521" s="182"/>
      <c r="P521" s="182"/>
      <c r="Q521" s="184"/>
      <c r="R521" s="184"/>
      <c r="S521" s="185" t="str">
        <f>IFERROR(CLEAN(INDEX('Risk Matrix'!$H$7:$L$11,MATCH($Q521,'Risk Matrix'!$F$7:$F$11,0),MATCH($R521,'Risk Matrix'!$H$6:$L$6,0))),"")</f>
        <v/>
      </c>
      <c r="T521" s="85" t="str">
        <f>IF(LEFT($B521,7)=RIGHT('SOP template'!$B$1,7),_xlfn.NUMBERVALUE(RIGHT($S521,2)),"")</f>
        <v/>
      </c>
      <c r="U521" s="182"/>
      <c r="V521" s="182"/>
      <c r="W521" s="182"/>
      <c r="X521" s="182"/>
      <c r="Y521" s="182"/>
      <c r="Z521" s="183"/>
      <c r="AA521" s="186" t="str">
        <f>IFERROR(VLOOKUP(IFERROR(LEFT(S521,4),""),Ref!$AF$2:$AG$5,2,0),"")</f>
        <v/>
      </c>
      <c r="AB521" s="146"/>
      <c r="AC521" s="218"/>
      <c r="AD521" s="187" t="str">
        <f>IFERROR(VLOOKUP(AC521,'Training Matrix'!B$4:C$24,2,0),"")</f>
        <v/>
      </c>
      <c r="AE521" s="218"/>
      <c r="AF521" s="188" t="str">
        <f t="shared" si="645"/>
        <v/>
      </c>
      <c r="AG521" s="189" t="str">
        <f t="shared" ca="1" si="646"/>
        <v/>
      </c>
      <c r="AH521" s="50" t="str">
        <f t="shared" ref="AH521" si="737">IF(OR(AC521="",AE521=""),"",CONCATENATE(AC521,"_",K508,"_",L508))</f>
        <v/>
      </c>
    </row>
    <row r="522" spans="1:34" x14ac:dyDescent="0.25">
      <c r="A522" s="5" t="str">
        <f>IF(LEFT(F522,15)='SOP template'!$B$1,1,"")</f>
        <v/>
      </c>
      <c r="B522" s="190" t="str">
        <f t="shared" si="732"/>
        <v>SOP.029.15</v>
      </c>
      <c r="C522" s="190" t="str">
        <f t="shared" si="719"/>
        <v>SOP.029.</v>
      </c>
      <c r="D522" s="190" t="str">
        <f t="shared" si="720"/>
        <v>SOP.029.</v>
      </c>
      <c r="E522" s="190">
        <f t="shared" si="730"/>
        <v>15</v>
      </c>
      <c r="F522" s="190" t="str">
        <f t="shared" si="733"/>
        <v>..SOP.029.01020315</v>
      </c>
      <c r="G522" s="190" t="str">
        <f>IF(ISBLANK(N522),"",CONCATENATE(LEFT(F522,15),".",INDEX(Ref!A:A,MATCH(N522,Ref!$K$1:$K$333,0))))</f>
        <v/>
      </c>
      <c r="H522" s="181"/>
      <c r="I522" s="183"/>
      <c r="J522" s="181"/>
      <c r="K522" s="181"/>
      <c r="L522" s="182"/>
      <c r="M522" s="182"/>
      <c r="N522" s="183"/>
      <c r="O522" s="182"/>
      <c r="P522" s="182"/>
      <c r="Q522" s="184"/>
      <c r="R522" s="184"/>
      <c r="S522" s="185" t="str">
        <f>IFERROR(CLEAN(INDEX('Risk Matrix'!$H$7:$L$11,MATCH($Q522,'Risk Matrix'!$F$7:$F$11,0),MATCH($R522,'Risk Matrix'!$H$6:$L$6,0))),"")</f>
        <v/>
      </c>
      <c r="T522" s="85" t="str">
        <f>IF(LEFT($B522,7)=RIGHT('SOP template'!$B$1,7),_xlfn.NUMBERVALUE(RIGHT($S522,2)),"")</f>
        <v/>
      </c>
      <c r="U522" s="182"/>
      <c r="V522" s="182"/>
      <c r="W522" s="182"/>
      <c r="X522" s="182"/>
      <c r="Y522" s="182"/>
      <c r="Z522" s="183"/>
      <c r="AA522" s="186" t="str">
        <f>IFERROR(VLOOKUP(IFERROR(LEFT(S522,4),""),Ref!$AF$2:$AG$5,2,0),"")</f>
        <v/>
      </c>
      <c r="AB522" s="146"/>
      <c r="AC522" s="218"/>
      <c r="AD522" s="187" t="str">
        <f>IFERROR(VLOOKUP(AC522,'Training Matrix'!B$4:C$24,2,0),"")</f>
        <v/>
      </c>
      <c r="AE522" s="218"/>
      <c r="AF522" s="188" t="str">
        <f t="shared" ref="AF522:AF543" si="738">IF(AE522="","",EDATE(AE522,AB$4))</f>
        <v/>
      </c>
      <c r="AG522" s="189" t="str">
        <f t="shared" ref="AG522:AG543" ca="1" si="739">IF(AE522="","",IF(TODAY()&gt;AF522,"Overdue","Current"))</f>
        <v/>
      </c>
      <c r="AH522" s="50" t="str">
        <f t="shared" ref="AH522" si="740">IF(OR(AC522="",AE522=""),"",CONCATENATE(AC522,"_",K508,"_",L508))</f>
        <v/>
      </c>
    </row>
    <row r="523" spans="1:34" x14ac:dyDescent="0.25">
      <c r="A523" s="5" t="str">
        <f>IF(LEFT(F523,15)='SOP template'!$B$1,1,"")</f>
        <v/>
      </c>
      <c r="B523" s="190" t="str">
        <f t="shared" si="732"/>
        <v>SOP.029.16</v>
      </c>
      <c r="C523" s="190" t="str">
        <f t="shared" si="719"/>
        <v>SOP.029.</v>
      </c>
      <c r="D523" s="190" t="str">
        <f t="shared" si="720"/>
        <v>SOP.029.</v>
      </c>
      <c r="E523" s="190">
        <f t="shared" si="730"/>
        <v>16</v>
      </c>
      <c r="F523" s="190" t="str">
        <f t="shared" si="733"/>
        <v>..SOP.029.01020316</v>
      </c>
      <c r="G523" s="190" t="str">
        <f>IF(ISBLANK(N523),"",CONCATENATE(LEFT(F523,15),".",INDEX(Ref!A:A,MATCH(N523,Ref!$K$1:$K$333,0))))</f>
        <v/>
      </c>
      <c r="H523" s="181"/>
      <c r="I523" s="183"/>
      <c r="J523" s="181"/>
      <c r="K523" s="181"/>
      <c r="L523" s="182"/>
      <c r="M523" s="182"/>
      <c r="N523" s="183"/>
      <c r="O523" s="182"/>
      <c r="P523" s="182"/>
      <c r="Q523" s="184"/>
      <c r="R523" s="184"/>
      <c r="S523" s="185" t="str">
        <f>IFERROR(CLEAN(INDEX('Risk Matrix'!$H$7:$L$11,MATCH($Q523,'Risk Matrix'!$F$7:$F$11,0),MATCH($R523,'Risk Matrix'!$H$6:$L$6,0))),"")</f>
        <v/>
      </c>
      <c r="T523" s="85" t="str">
        <f>IF(LEFT($B523,7)=RIGHT('SOP template'!$B$1,7),_xlfn.NUMBERVALUE(RIGHT($S523,2)),"")</f>
        <v/>
      </c>
      <c r="U523" s="182"/>
      <c r="V523" s="182"/>
      <c r="W523" s="182"/>
      <c r="X523" s="182"/>
      <c r="Y523" s="182"/>
      <c r="Z523" s="183"/>
      <c r="AA523" s="186" t="str">
        <f>IFERROR(VLOOKUP(IFERROR(LEFT(S523,4),""),Ref!$AF$2:$AG$5,2,0),"")</f>
        <v/>
      </c>
      <c r="AB523" s="146"/>
      <c r="AC523" s="218"/>
      <c r="AD523" s="187" t="str">
        <f>IFERROR(VLOOKUP(AC523,'Training Matrix'!B$4:C$24,2,0),"")</f>
        <v/>
      </c>
      <c r="AE523" s="218"/>
      <c r="AF523" s="188" t="str">
        <f t="shared" si="738"/>
        <v/>
      </c>
      <c r="AG523" s="189" t="str">
        <f t="shared" ca="1" si="739"/>
        <v/>
      </c>
      <c r="AH523" s="50" t="str">
        <f t="shared" ref="AH523" si="741">IF(OR(AC523="",AE523=""),"",CONCATENATE(AC523,"_",K508,"_",L508))</f>
        <v/>
      </c>
    </row>
    <row r="524" spans="1:34" x14ac:dyDescent="0.25">
      <c r="A524" s="5" t="str">
        <f>IF(LEFT(F524,15)='SOP template'!$B$1,1,"")</f>
        <v/>
      </c>
      <c r="B524" s="190" t="str">
        <f t="shared" si="732"/>
        <v>SOP.029.17</v>
      </c>
      <c r="C524" s="190" t="str">
        <f t="shared" si="719"/>
        <v>SOP.029.</v>
      </c>
      <c r="D524" s="190" t="str">
        <f t="shared" si="720"/>
        <v>SOP.029.</v>
      </c>
      <c r="E524" s="190">
        <f t="shared" si="730"/>
        <v>17</v>
      </c>
      <c r="F524" s="190" t="str">
        <f t="shared" si="733"/>
        <v>..SOP.029.01020317</v>
      </c>
      <c r="G524" s="190" t="str">
        <f>IF(ISBLANK(N524),"",CONCATENATE(LEFT(F524,15),".",INDEX(Ref!A:A,MATCH(N524,Ref!$K$1:$K$333,0))))</f>
        <v/>
      </c>
      <c r="H524" s="181"/>
      <c r="I524" s="183"/>
      <c r="J524" s="181"/>
      <c r="K524" s="181"/>
      <c r="L524" s="182"/>
      <c r="M524" s="182"/>
      <c r="N524" s="183"/>
      <c r="O524" s="182"/>
      <c r="P524" s="182"/>
      <c r="Q524" s="184"/>
      <c r="R524" s="184"/>
      <c r="S524" s="185" t="str">
        <f>IFERROR(CLEAN(INDEX('Risk Matrix'!$H$7:$L$11,MATCH($Q524,'Risk Matrix'!$F$7:$F$11,0),MATCH($R524,'Risk Matrix'!$H$6:$L$6,0))),"")</f>
        <v/>
      </c>
      <c r="T524" s="85" t="str">
        <f>IF(LEFT($B524,7)=RIGHT('SOP template'!$B$1,7),_xlfn.NUMBERVALUE(RIGHT($S524,2)),"")</f>
        <v/>
      </c>
      <c r="U524" s="182"/>
      <c r="V524" s="182"/>
      <c r="W524" s="182"/>
      <c r="X524" s="182"/>
      <c r="Y524" s="182"/>
      <c r="Z524" s="183"/>
      <c r="AA524" s="186" t="str">
        <f>IFERROR(VLOOKUP(IFERROR(LEFT(S524,4),""),Ref!$AF$2:$AG$5,2,0),"")</f>
        <v/>
      </c>
      <c r="AB524" s="146"/>
      <c r="AC524" s="218"/>
      <c r="AD524" s="187" t="str">
        <f>IFERROR(VLOOKUP(AC524,'Training Matrix'!B$4:C$24,2,0),"")</f>
        <v/>
      </c>
      <c r="AE524" s="218"/>
      <c r="AF524" s="188" t="str">
        <f t="shared" si="738"/>
        <v/>
      </c>
      <c r="AG524" s="189" t="str">
        <f t="shared" ca="1" si="739"/>
        <v/>
      </c>
      <c r="AH524" s="50" t="str">
        <f t="shared" ref="AH524" si="742">IF(OR(AC524="",AE524=""),"",CONCATENATE(AC524,"_",K508,"_",L508))</f>
        <v/>
      </c>
    </row>
    <row r="525" spans="1:34" x14ac:dyDescent="0.25">
      <c r="A525" s="5" t="str">
        <f>IF(LEFT(F525,15)='SOP template'!$B$1,1,"")</f>
        <v/>
      </c>
      <c r="B525" s="190" t="str">
        <f t="shared" si="732"/>
        <v>SOP.029.18</v>
      </c>
      <c r="C525" s="190" t="str">
        <f t="shared" si="719"/>
        <v>SOP.029.</v>
      </c>
      <c r="D525" s="190" t="str">
        <f t="shared" si="720"/>
        <v>SOP.029.</v>
      </c>
      <c r="E525" s="190">
        <f t="shared" si="730"/>
        <v>18</v>
      </c>
      <c r="F525" s="190" t="str">
        <f t="shared" si="733"/>
        <v>..SOP.029.01020318</v>
      </c>
      <c r="G525" s="190" t="str">
        <f>IF(ISBLANK(N525),"",CONCATENATE(LEFT(F525,15),".",INDEX(Ref!A:A,MATCH(N525,Ref!$K$1:$K$333,0))))</f>
        <v/>
      </c>
      <c r="H525" s="181"/>
      <c r="I525" s="183"/>
      <c r="J525" s="181"/>
      <c r="K525" s="181"/>
      <c r="L525" s="182"/>
      <c r="M525" s="182"/>
      <c r="N525" s="183"/>
      <c r="O525" s="182"/>
      <c r="P525" s="182"/>
      <c r="Q525" s="184"/>
      <c r="R525" s="184"/>
      <c r="S525" s="185" t="str">
        <f>IFERROR(CLEAN(INDEX('Risk Matrix'!$H$7:$L$11,MATCH($Q525,'Risk Matrix'!$F$7:$F$11,0),MATCH($R525,'Risk Matrix'!$H$6:$L$6,0))),"")</f>
        <v/>
      </c>
      <c r="T525" s="85" t="str">
        <f>IF(LEFT($B525,7)=RIGHT('SOP template'!$B$1,7),_xlfn.NUMBERVALUE(RIGHT($S525,2)),"")</f>
        <v/>
      </c>
      <c r="U525" s="182"/>
      <c r="V525" s="182"/>
      <c r="W525" s="182"/>
      <c r="X525" s="182"/>
      <c r="Y525" s="182"/>
      <c r="Z525" s="183"/>
      <c r="AA525" s="186" t="str">
        <f>IFERROR(VLOOKUP(IFERROR(LEFT(S525,4),""),Ref!$AF$2:$AG$5,2,0),"")</f>
        <v/>
      </c>
      <c r="AB525" s="146"/>
      <c r="AC525" s="218"/>
      <c r="AD525" s="187" t="str">
        <f>IFERROR(VLOOKUP(AC525,'Training Matrix'!B$4:C$24,2,0),"")</f>
        <v/>
      </c>
      <c r="AE525" s="218"/>
      <c r="AF525" s="188" t="str">
        <f t="shared" si="738"/>
        <v/>
      </c>
      <c r="AG525" s="189" t="str">
        <f t="shared" ca="1" si="739"/>
        <v/>
      </c>
      <c r="AH525" s="50" t="str">
        <f t="shared" ref="AH525" si="743">IF(OR(AC525="",AE525=""),"",CONCATENATE(AC525,"_",K508,"_",L508))</f>
        <v/>
      </c>
    </row>
    <row r="526" spans="1:34" x14ac:dyDescent="0.25">
      <c r="A526" s="5" t="str">
        <f>IF(LEFT(F526,15)='SOP template'!$B$1,1,"")</f>
        <v/>
      </c>
      <c r="B526" s="179" t="str">
        <f t="shared" ref="B526" si="744">IF(ISBLANK($K526),CONCATENATE($B$2,".",TEXT(J526,"000"),".",$E526),CONCATENATE(RIGHT($K526,7),".1"))</f>
        <v>SOP.030.1</v>
      </c>
      <c r="C526" s="179" t="str">
        <f>IF(ISBLANK($K526),CONCATENATE(LEFT(#REF!,8),IF($E526=1,1.1,IF($E526=2,1.4,IF($E526=3,2,IF($E526=4,2.4,IF($E526=5,3,IF($E526=6,3.4,IF($E526=7,4,IF($E526=8,4.4,IF($E526=9,5,IF($E526=10,5.4,IF($E526=11,6,IF($E526=12,6.4,""))))))))))))),CONCATENATE(RIGHT($K526,7),".1"))</f>
        <v>SOP.030.1</v>
      </c>
      <c r="D526" s="179" t="str">
        <f>IF(ISBLANK($K526),CONCATENATE(LEFT(#REF!,8),IF($E526=1,1,IF($E526=2,1.3,IF($E526=3,1.5,IF($E526=4,2,IF($E526=5,2.3,IF($E526=6,2.5,IF($E526=7,3,IF($E526=8,3.3,IF($E526=9,3.5,IF($E526=10,4,IF($E526=11,4.3,IF($E526=12,4.5,""))))))))))))),CONCATENATE(RIGHT($K526,7),".1"))</f>
        <v>SOP.030.1</v>
      </c>
      <c r="E526" s="179">
        <f t="shared" si="730"/>
        <v>1</v>
      </c>
      <c r="F526" s="179" t="str">
        <f t="shared" ref="F526" si="745">K526&amp;"."&amp;TEXT(E526,"00")</f>
        <v>..SOP.030.01</v>
      </c>
      <c r="G526" s="179" t="str">
        <f>IF(ISBLANK(N526),"",CONCATENATE(LEFT(F526,15),".",INDEX(Ref!A:A,MATCH(N526,Ref!$K$1:$K$333,0))))</f>
        <v/>
      </c>
      <c r="H526" s="217"/>
      <c r="I526" s="217"/>
      <c r="J526" s="180">
        <v>30</v>
      </c>
      <c r="K526" s="181" t="str">
        <f>IFERROR(CONCATENATE(INDEX(Ref!$Z$2:$Z$8,MATCH(H526,Ref!$AA$2:$AA$8,0)),".",I526,".SOP.",TEXT(J526,"000")),CONCATENATE(H526,".",I526,".SOP.",TEXT(J526,"000")))</f>
        <v>..SOP.030</v>
      </c>
      <c r="L526" s="192"/>
      <c r="M526" s="182"/>
      <c r="N526" s="183"/>
      <c r="O526" s="182"/>
      <c r="P526" s="182"/>
      <c r="Q526" s="184"/>
      <c r="R526" s="184"/>
      <c r="S526" s="185" t="str">
        <f>IFERROR(CLEAN(INDEX('Risk Matrix'!$H$7:$L$11,MATCH($Q526,'Risk Matrix'!$F$7:$F$11,0),MATCH($R526,'Risk Matrix'!$H$6:$L$6,0))),"")</f>
        <v/>
      </c>
      <c r="T526" s="85" t="str">
        <f>IF(LEFT($B526,7)=RIGHT('SOP template'!$B$1,7),_xlfn.NUMBERVALUE(RIGHT($S526,2)),"")</f>
        <v/>
      </c>
      <c r="U526" s="182"/>
      <c r="V526" s="182"/>
      <c r="W526" s="182"/>
      <c r="X526" s="182"/>
      <c r="Y526" s="182"/>
      <c r="Z526" s="182"/>
      <c r="AA526" s="186" t="str">
        <f>IFERROR(VLOOKUP(IFERROR(LEFT(S526,4),""),Ref!$AF$2:$AG$5,2,0),"")</f>
        <v/>
      </c>
      <c r="AB526" s="186">
        <f>MIN($AA526:$AA543)</f>
        <v>0</v>
      </c>
      <c r="AC526" s="218"/>
      <c r="AD526" s="187" t="str">
        <f>IFERROR(VLOOKUP(AC526,'Training Matrix'!B$4:C$24,2,0),"")</f>
        <v/>
      </c>
      <c r="AE526" s="218"/>
      <c r="AF526" s="188" t="str">
        <f t="shared" si="738"/>
        <v/>
      </c>
      <c r="AG526" s="189" t="str">
        <f t="shared" ca="1" si="739"/>
        <v/>
      </c>
      <c r="AH526" s="50" t="str">
        <f t="shared" ref="AH526" si="746">IF(OR(AC526="",AE526=""),"",CONCATENATE(AC526,"_",K526,"_",L526))</f>
        <v/>
      </c>
    </row>
    <row r="527" spans="1:34" x14ac:dyDescent="0.25">
      <c r="A527" s="5" t="str">
        <f>IF(LEFT(F527,15)='SOP template'!$B$1,1,"")</f>
        <v/>
      </c>
      <c r="B527" s="190" t="str">
        <f t="shared" ref="B527:B535" si="747">CONCATENATE(LEFT(B526,8),E527)</f>
        <v>SOP.030.2</v>
      </c>
      <c r="C527" s="190" t="str">
        <f t="shared" ref="C527" si="748">IF(ISBLANK($K527),CONCATENATE(LEFT($B526,8),IF($E527=1,1.1,IF($E527=2,1.4,IF($E527=3,2,IF($E527=4,2.4,IF($E527=5,3,IF($E527=6,3.4,IF($E527=7,4,IF($E527=8,4.4,IF($E527=9,5,IF($E527=10,5.4,IF($E527=11,6,IF($E527=12,6.4,""))))))))))))),CONCATENATE(RIGHT($K527,7),".1"))</f>
        <v>SOP.030.1.4</v>
      </c>
      <c r="D527" s="190" t="str">
        <f t="shared" ref="D527" si="749">IF(ISBLANK($K527),CONCATENATE(LEFT($B526,8),IF($E527=1,1,IF($E527=2,1.3,IF($E527=3,1.5,IF($E527=4,2,IF($E527=5,2.3,IF($E527=6,2.5,IF($E527=7,3,IF($E527=8,3.3,IF($E527=9,3.5,IF($E527=10,4,IF($E527=11,4.3,IF($E527=12,4.5,""))))))))))))),CONCATENATE(RIGHT($K527,7),".1"))</f>
        <v>SOP.030.1.3</v>
      </c>
      <c r="E527" s="190">
        <f t="shared" si="730"/>
        <v>2</v>
      </c>
      <c r="F527" s="190" t="str">
        <f t="shared" ref="F527:F535" si="750">IF(K527=0,LEFT(F526,16)&amp;TEXT(E527,"00"),K527&amp;"."&amp;TEXT(E527,"00"))</f>
        <v>..SOP.030.0102</v>
      </c>
      <c r="G527" s="190" t="str">
        <f>IF(ISBLANK(N527),"",CONCATENATE(LEFT(F527,15),".",INDEX(Ref!A:A,MATCH(N527,Ref!$K$1:$K$333,0))))</f>
        <v/>
      </c>
      <c r="H527" s="181"/>
      <c r="I527" s="181"/>
      <c r="J527" s="181"/>
      <c r="K527" s="181"/>
      <c r="L527" s="182"/>
      <c r="M527" s="182"/>
      <c r="N527" s="183"/>
      <c r="O527" s="182"/>
      <c r="P527" s="182"/>
      <c r="Q527" s="184"/>
      <c r="R527" s="184"/>
      <c r="S527" s="185" t="str">
        <f>IFERROR(CLEAN(INDEX('Risk Matrix'!$H$7:$L$11,MATCH($Q527,'Risk Matrix'!$F$7:$F$11,0),MATCH($R527,'Risk Matrix'!$H$6:$L$6,0))),"")</f>
        <v/>
      </c>
      <c r="T527" s="85" t="str">
        <f>IF(LEFT($B527,7)=RIGHT('SOP template'!$B$1,7),_xlfn.NUMBERVALUE(RIGHT($S527,2)),"")</f>
        <v/>
      </c>
      <c r="U527" s="182"/>
      <c r="V527" s="182"/>
      <c r="W527" s="182"/>
      <c r="X527" s="182"/>
      <c r="Y527" s="182"/>
      <c r="Z527" s="183"/>
      <c r="AA527" s="186" t="str">
        <f>IFERROR(VLOOKUP(IFERROR(LEFT(S527,4),""),Ref!$AF$2:$AG$5,2,0),"")</f>
        <v/>
      </c>
      <c r="AB527" s="146"/>
      <c r="AC527" s="218"/>
      <c r="AD527" s="187" t="str">
        <f>IFERROR(VLOOKUP(AC527,'Training Matrix'!B$4:C$24,2,0),"")</f>
        <v/>
      </c>
      <c r="AE527" s="218"/>
      <c r="AF527" s="188" t="str">
        <f t="shared" si="738"/>
        <v/>
      </c>
      <c r="AG527" s="189" t="str">
        <f t="shared" ca="1" si="739"/>
        <v/>
      </c>
      <c r="AH527" s="50" t="str">
        <f t="shared" ref="AH527" si="751">IF(OR(AC527="",AE527=""),"",CONCATENATE(AC527,"_",K526,"_",L526))</f>
        <v/>
      </c>
    </row>
    <row r="528" spans="1:34" x14ac:dyDescent="0.25">
      <c r="A528" s="5" t="str">
        <f>IF(LEFT(F528,15)='SOP template'!$B$1,1,"")</f>
        <v/>
      </c>
      <c r="B528" s="190" t="str">
        <f t="shared" si="747"/>
        <v>SOP.030.3</v>
      </c>
      <c r="C528" s="190" t="str">
        <f t="shared" si="719"/>
        <v>SOP.030.2</v>
      </c>
      <c r="D528" s="190" t="str">
        <f t="shared" si="720"/>
        <v>SOP.030.1.5</v>
      </c>
      <c r="E528" s="190">
        <f t="shared" si="730"/>
        <v>3</v>
      </c>
      <c r="F528" s="190" t="str">
        <f t="shared" si="750"/>
        <v>..SOP.030.010203</v>
      </c>
      <c r="G528" s="190" t="str">
        <f>IF(ISBLANK(N528),"",CONCATENATE(LEFT(F528,15),".",INDEX(Ref!A:A,MATCH(N528,Ref!$K$1:$K$333,0))))</f>
        <v/>
      </c>
      <c r="H528" s="181"/>
      <c r="I528" s="181"/>
      <c r="J528" s="181"/>
      <c r="K528" s="181"/>
      <c r="L528" s="182"/>
      <c r="M528" s="182"/>
      <c r="N528" s="183"/>
      <c r="O528" s="182"/>
      <c r="P528" s="182"/>
      <c r="Q528" s="184"/>
      <c r="R528" s="184"/>
      <c r="S528" s="185" t="str">
        <f>IFERROR(CLEAN(INDEX('Risk Matrix'!$H$7:$L$11,MATCH($Q528,'Risk Matrix'!$F$7:$F$11,0),MATCH($R528,'Risk Matrix'!$H$6:$L$6,0))),"")</f>
        <v/>
      </c>
      <c r="T528" s="85" t="str">
        <f>IF(LEFT($B528,7)=RIGHT('SOP template'!$B$1,7),_xlfn.NUMBERVALUE(RIGHT($S528,2)),"")</f>
        <v/>
      </c>
      <c r="U528" s="182"/>
      <c r="V528" s="182"/>
      <c r="W528" s="182"/>
      <c r="X528" s="182"/>
      <c r="Y528" s="182"/>
      <c r="Z528" s="183"/>
      <c r="AA528" s="186" t="str">
        <f>IFERROR(VLOOKUP(IFERROR(LEFT(S528,4),""),Ref!$AF$2:$AG$5,2,0),"")</f>
        <v/>
      </c>
      <c r="AB528" s="146"/>
      <c r="AC528" s="218"/>
      <c r="AD528" s="187" t="str">
        <f>IFERROR(VLOOKUP(AC528,'Training Matrix'!B$4:C$24,2,0),"")</f>
        <v/>
      </c>
      <c r="AE528" s="218"/>
      <c r="AF528" s="188" t="str">
        <f t="shared" si="738"/>
        <v/>
      </c>
      <c r="AG528" s="189" t="str">
        <f t="shared" ca="1" si="739"/>
        <v/>
      </c>
      <c r="AH528" s="50" t="str">
        <f t="shared" ref="AH528" si="752">IF(OR(AC528="",AE528=""),"",CONCATENATE(AC528,"_",K526,"_",L526))</f>
        <v/>
      </c>
    </row>
    <row r="529" spans="1:34" x14ac:dyDescent="0.25">
      <c r="A529" s="5" t="str">
        <f>IF(LEFT(F529,15)='SOP template'!$B$1,1,"")</f>
        <v/>
      </c>
      <c r="B529" s="190" t="str">
        <f t="shared" si="747"/>
        <v>SOP.030.4</v>
      </c>
      <c r="C529" s="190" t="str">
        <f t="shared" si="719"/>
        <v>SOP.030.2.4</v>
      </c>
      <c r="D529" s="190" t="str">
        <f t="shared" si="720"/>
        <v>SOP.030.2</v>
      </c>
      <c r="E529" s="190">
        <f t="shared" si="730"/>
        <v>4</v>
      </c>
      <c r="F529" s="190" t="str">
        <f t="shared" si="750"/>
        <v>..SOP.030.01020304</v>
      </c>
      <c r="G529" s="190" t="str">
        <f>IF(ISBLANK(N529),"",CONCATENATE(LEFT(F529,15),".",INDEX(Ref!A:A,MATCH(N529,Ref!$K$1:$K$333,0))))</f>
        <v/>
      </c>
      <c r="H529" s="181"/>
      <c r="I529" s="181"/>
      <c r="J529" s="181"/>
      <c r="K529" s="181"/>
      <c r="L529" s="182"/>
      <c r="M529" s="182"/>
      <c r="N529" s="183"/>
      <c r="O529" s="182"/>
      <c r="P529" s="182"/>
      <c r="Q529" s="184"/>
      <c r="R529" s="184"/>
      <c r="S529" s="185" t="str">
        <f>IFERROR(CLEAN(INDEX('Risk Matrix'!$H$7:$L$11,MATCH($Q529,'Risk Matrix'!$F$7:$F$11,0),MATCH($R529,'Risk Matrix'!$H$6:$L$6,0))),"")</f>
        <v/>
      </c>
      <c r="T529" s="85" t="str">
        <f>IF(LEFT($B529,7)=RIGHT('SOP template'!$B$1,7),_xlfn.NUMBERVALUE(RIGHT($S529,2)),"")</f>
        <v/>
      </c>
      <c r="U529" s="182"/>
      <c r="V529" s="182"/>
      <c r="W529" s="182"/>
      <c r="X529" s="182"/>
      <c r="Y529" s="182"/>
      <c r="Z529" s="183"/>
      <c r="AA529" s="186" t="str">
        <f>IFERROR(VLOOKUP(IFERROR(LEFT(S529,4),""),Ref!$AF$2:$AG$5,2,0),"")</f>
        <v/>
      </c>
      <c r="AB529" s="146"/>
      <c r="AC529" s="218"/>
      <c r="AD529" s="187" t="str">
        <f>IFERROR(VLOOKUP(AC529,'Training Matrix'!B$4:C$24,2,0),"")</f>
        <v/>
      </c>
      <c r="AE529" s="218"/>
      <c r="AF529" s="188" t="str">
        <f t="shared" si="738"/>
        <v/>
      </c>
      <c r="AG529" s="189" t="str">
        <f t="shared" ca="1" si="739"/>
        <v/>
      </c>
      <c r="AH529" s="50" t="str">
        <f t="shared" ref="AH529" si="753">IF(OR(AC529="",AE529=""),"",CONCATENATE(AC529,"_",K526,"_",L526))</f>
        <v/>
      </c>
    </row>
    <row r="530" spans="1:34" x14ac:dyDescent="0.25">
      <c r="A530" s="5" t="str">
        <f>IF(LEFT(F530,15)='SOP template'!$B$1,1,"")</f>
        <v/>
      </c>
      <c r="B530" s="190" t="str">
        <f t="shared" si="747"/>
        <v>SOP.030.5</v>
      </c>
      <c r="C530" s="190" t="str">
        <f t="shared" si="719"/>
        <v>SOP.030.3</v>
      </c>
      <c r="D530" s="190" t="str">
        <f t="shared" si="720"/>
        <v>SOP.030.2.3</v>
      </c>
      <c r="E530" s="190">
        <f t="shared" si="730"/>
        <v>5</v>
      </c>
      <c r="F530" s="190" t="str">
        <f t="shared" si="750"/>
        <v>..SOP.030.01020305</v>
      </c>
      <c r="G530" s="190" t="str">
        <f>IF(ISBLANK(N530),"",CONCATENATE(LEFT(F530,15),".",INDEX(Ref!A:A,MATCH(N530,Ref!$K$1:$K$333,0))))</f>
        <v/>
      </c>
      <c r="H530" s="181"/>
      <c r="I530" s="181"/>
      <c r="J530" s="181"/>
      <c r="K530" s="181"/>
      <c r="L530" s="182"/>
      <c r="M530" s="182"/>
      <c r="N530" s="183"/>
      <c r="O530" s="182"/>
      <c r="P530" s="182"/>
      <c r="Q530" s="184"/>
      <c r="R530" s="184"/>
      <c r="S530" s="185" t="str">
        <f>IFERROR(CLEAN(INDEX('Risk Matrix'!$H$7:$L$11,MATCH($Q530,'Risk Matrix'!$F$7:$F$11,0),MATCH($R530,'Risk Matrix'!$H$6:$L$6,0))),"")</f>
        <v/>
      </c>
      <c r="T530" s="85" t="str">
        <f>IF(LEFT($B530,7)=RIGHT('SOP template'!$B$1,7),_xlfn.NUMBERVALUE(RIGHT($S530,2)),"")</f>
        <v/>
      </c>
      <c r="U530" s="182"/>
      <c r="V530" s="182"/>
      <c r="W530" s="182"/>
      <c r="X530" s="182"/>
      <c r="Y530" s="182"/>
      <c r="Z530" s="183"/>
      <c r="AA530" s="186" t="str">
        <f>IFERROR(VLOOKUP(IFERROR(LEFT(S530,4),""),Ref!$AF$2:$AG$5,2,0),"")</f>
        <v/>
      </c>
      <c r="AB530" s="146"/>
      <c r="AC530" s="218"/>
      <c r="AD530" s="187" t="str">
        <f>IFERROR(VLOOKUP(AC530,'Training Matrix'!B$4:C$24,2,0),"")</f>
        <v/>
      </c>
      <c r="AE530" s="218"/>
      <c r="AF530" s="188" t="str">
        <f t="shared" si="738"/>
        <v/>
      </c>
      <c r="AG530" s="189" t="str">
        <f t="shared" ca="1" si="739"/>
        <v/>
      </c>
      <c r="AH530" s="50" t="str">
        <f t="shared" ref="AH530" si="754">IF(OR(AC530="",AE530=""),"",CONCATENATE(AC530,"_",K526,"_",L526))</f>
        <v/>
      </c>
    </row>
    <row r="531" spans="1:34" x14ac:dyDescent="0.25">
      <c r="A531" s="5" t="str">
        <f>IF(LEFT(F531,15)='SOP template'!$B$1,1,"")</f>
        <v/>
      </c>
      <c r="B531" s="190" t="str">
        <f t="shared" si="747"/>
        <v>SOP.030.6</v>
      </c>
      <c r="C531" s="190" t="str">
        <f t="shared" si="719"/>
        <v>SOP.030.3.4</v>
      </c>
      <c r="D531" s="190" t="str">
        <f t="shared" si="720"/>
        <v>SOP.030.2.5</v>
      </c>
      <c r="E531" s="190">
        <f t="shared" si="730"/>
        <v>6</v>
      </c>
      <c r="F531" s="190" t="str">
        <f t="shared" si="750"/>
        <v>..SOP.030.01020306</v>
      </c>
      <c r="G531" s="190" t="str">
        <f>IF(ISBLANK(N531),"",CONCATENATE(LEFT(F531,15),".",INDEX(Ref!A:A,MATCH(N531,Ref!$K$1:$K$333,0))))</f>
        <v/>
      </c>
      <c r="H531" s="181"/>
      <c r="I531" s="181"/>
      <c r="J531" s="181"/>
      <c r="K531" s="181"/>
      <c r="L531" s="182"/>
      <c r="M531" s="182"/>
      <c r="N531" s="183"/>
      <c r="O531" s="182"/>
      <c r="P531" s="182"/>
      <c r="Q531" s="184"/>
      <c r="R531" s="184"/>
      <c r="S531" s="185" t="str">
        <f>IFERROR(CLEAN(INDEX('Risk Matrix'!$H$7:$L$11,MATCH($Q531,'Risk Matrix'!$F$7:$F$11,0),MATCH($R531,'Risk Matrix'!$H$6:$L$6,0))),"")</f>
        <v/>
      </c>
      <c r="T531" s="85" t="str">
        <f>IF(LEFT($B531,7)=RIGHT('SOP template'!$B$1,7),_xlfn.NUMBERVALUE(RIGHT($S531,2)),"")</f>
        <v/>
      </c>
      <c r="U531" s="182"/>
      <c r="V531" s="182"/>
      <c r="W531" s="182"/>
      <c r="X531" s="182"/>
      <c r="Y531" s="182"/>
      <c r="Z531" s="183"/>
      <c r="AA531" s="186" t="str">
        <f>IFERROR(VLOOKUP(IFERROR(LEFT(S531,4),""),Ref!$AF$2:$AG$5,2,0),"")</f>
        <v/>
      </c>
      <c r="AB531" s="146"/>
      <c r="AC531" s="218"/>
      <c r="AD531" s="187" t="str">
        <f>IFERROR(VLOOKUP(AC531,'Training Matrix'!B$4:C$24,2,0),"")</f>
        <v/>
      </c>
      <c r="AE531" s="218"/>
      <c r="AF531" s="188" t="str">
        <f t="shared" si="738"/>
        <v/>
      </c>
      <c r="AG531" s="189" t="str">
        <f t="shared" ca="1" si="739"/>
        <v/>
      </c>
      <c r="AH531" s="50" t="str">
        <f t="shared" ref="AH531" si="755">IF(OR(AC531="",AE531=""),"",CONCATENATE(AC531,"_",K526,"_",L526))</f>
        <v/>
      </c>
    </row>
    <row r="532" spans="1:34" x14ac:dyDescent="0.25">
      <c r="A532" s="5" t="str">
        <f>IF(LEFT(F532,15)='SOP template'!$B$1,1,"")</f>
        <v/>
      </c>
      <c r="B532" s="190" t="str">
        <f t="shared" si="747"/>
        <v>SOP.030.7</v>
      </c>
      <c r="C532" s="190" t="str">
        <f t="shared" si="719"/>
        <v>SOP.030.4</v>
      </c>
      <c r="D532" s="190" t="str">
        <f t="shared" si="720"/>
        <v>SOP.030.3</v>
      </c>
      <c r="E532" s="190">
        <f t="shared" si="730"/>
        <v>7</v>
      </c>
      <c r="F532" s="190" t="str">
        <f t="shared" si="750"/>
        <v>..SOP.030.01020307</v>
      </c>
      <c r="G532" s="190" t="str">
        <f>IF(ISBLANK(N532),"",CONCATENATE(LEFT(F532,15),".",INDEX(Ref!A:A,MATCH(N532,Ref!$K$1:$K$333,0))))</f>
        <v/>
      </c>
      <c r="H532" s="181"/>
      <c r="I532" s="181"/>
      <c r="J532" s="181"/>
      <c r="K532" s="181"/>
      <c r="L532" s="182"/>
      <c r="M532" s="182"/>
      <c r="N532" s="183"/>
      <c r="O532" s="182"/>
      <c r="P532" s="182"/>
      <c r="Q532" s="184"/>
      <c r="R532" s="184"/>
      <c r="S532" s="185" t="str">
        <f>IFERROR(CLEAN(INDEX('Risk Matrix'!$H$7:$L$11,MATCH($Q532,'Risk Matrix'!$F$7:$F$11,0),MATCH($R532,'Risk Matrix'!$H$6:$L$6,0))),"")</f>
        <v/>
      </c>
      <c r="T532" s="85" t="str">
        <f>IF(LEFT($B532,7)=RIGHT('SOP template'!$B$1,7),_xlfn.NUMBERVALUE(RIGHT($S532,2)),"")</f>
        <v/>
      </c>
      <c r="U532" s="182"/>
      <c r="V532" s="182"/>
      <c r="W532" s="182"/>
      <c r="X532" s="182"/>
      <c r="Y532" s="182"/>
      <c r="Z532" s="183"/>
      <c r="AA532" s="186" t="str">
        <f>IFERROR(VLOOKUP(IFERROR(LEFT(S532,4),""),Ref!$AF$2:$AG$5,2,0),"")</f>
        <v/>
      </c>
      <c r="AB532" s="146"/>
      <c r="AC532" s="218"/>
      <c r="AD532" s="187" t="str">
        <f>IFERROR(VLOOKUP(AC532,'Training Matrix'!B$4:C$24,2,0),"")</f>
        <v/>
      </c>
      <c r="AE532" s="218"/>
      <c r="AF532" s="188" t="str">
        <f t="shared" si="738"/>
        <v/>
      </c>
      <c r="AG532" s="189" t="str">
        <f t="shared" ca="1" si="739"/>
        <v/>
      </c>
      <c r="AH532" s="50" t="str">
        <f t="shared" ref="AH532" si="756">IF(OR(AC532="",AE532=""),"",CONCATENATE(AC532,"_",K526,"_",L526))</f>
        <v/>
      </c>
    </row>
    <row r="533" spans="1:34" x14ac:dyDescent="0.25">
      <c r="A533" s="5" t="str">
        <f>IF(LEFT(F533,15)='SOP template'!$B$1,1,"")</f>
        <v/>
      </c>
      <c r="B533" s="190" t="str">
        <f t="shared" si="747"/>
        <v>SOP.030.8</v>
      </c>
      <c r="C533" s="190" t="str">
        <f t="shared" si="719"/>
        <v>SOP.030.4.4</v>
      </c>
      <c r="D533" s="190" t="str">
        <f t="shared" si="720"/>
        <v>SOP.030.3.3</v>
      </c>
      <c r="E533" s="190">
        <f t="shared" si="730"/>
        <v>8</v>
      </c>
      <c r="F533" s="190" t="str">
        <f t="shared" si="750"/>
        <v>..SOP.030.01020308</v>
      </c>
      <c r="G533" s="190" t="str">
        <f>IF(ISBLANK(N533),"",CONCATENATE(LEFT(F533,15),".",INDEX(Ref!A:A,MATCH(N533,Ref!$K$1:$K$333,0))))</f>
        <v/>
      </c>
      <c r="H533" s="181"/>
      <c r="I533" s="181"/>
      <c r="J533" s="181"/>
      <c r="K533" s="181"/>
      <c r="L533" s="182"/>
      <c r="M533" s="182"/>
      <c r="N533" s="183"/>
      <c r="O533" s="182"/>
      <c r="P533" s="182"/>
      <c r="Q533" s="184"/>
      <c r="R533" s="184"/>
      <c r="S533" s="185" t="str">
        <f>IFERROR(CLEAN(INDEX('Risk Matrix'!$H$7:$L$11,MATCH($Q533,'Risk Matrix'!$F$7:$F$11,0),MATCH($R533,'Risk Matrix'!$H$6:$L$6,0))),"")</f>
        <v/>
      </c>
      <c r="T533" s="85" t="str">
        <f>IF(LEFT($B533,7)=RIGHT('SOP template'!$B$1,7),_xlfn.NUMBERVALUE(RIGHT($S533,2)),"")</f>
        <v/>
      </c>
      <c r="U533" s="182"/>
      <c r="V533" s="182"/>
      <c r="W533" s="182"/>
      <c r="X533" s="182"/>
      <c r="Y533" s="182"/>
      <c r="Z533" s="183"/>
      <c r="AA533" s="186" t="str">
        <f>IFERROR(VLOOKUP(IFERROR(LEFT(S533,4),""),Ref!$AF$2:$AG$5,2,0),"")</f>
        <v/>
      </c>
      <c r="AB533" s="146"/>
      <c r="AC533" s="218"/>
      <c r="AD533" s="187" t="str">
        <f>IFERROR(VLOOKUP(AC533,'Training Matrix'!B$4:C$24,2,0),"")</f>
        <v/>
      </c>
      <c r="AE533" s="218"/>
      <c r="AF533" s="188" t="str">
        <f t="shared" si="738"/>
        <v/>
      </c>
      <c r="AG533" s="189" t="str">
        <f t="shared" ca="1" si="739"/>
        <v/>
      </c>
      <c r="AH533" s="50" t="str">
        <f t="shared" ref="AH533" si="757">IF(OR(AC533="",AE533=""),"",CONCATENATE(AC533,"_",K526,"_",L526))</f>
        <v/>
      </c>
    </row>
    <row r="534" spans="1:34" x14ac:dyDescent="0.25">
      <c r="A534" s="5" t="str">
        <f>IF(LEFT(F534,15)='SOP template'!$B$1,1,"")</f>
        <v/>
      </c>
      <c r="B534" s="190" t="str">
        <f t="shared" si="747"/>
        <v>SOP.030.9</v>
      </c>
      <c r="C534" s="190" t="str">
        <f t="shared" si="719"/>
        <v>SOP.030.5</v>
      </c>
      <c r="D534" s="190" t="str">
        <f t="shared" si="720"/>
        <v>SOP.030.3.5</v>
      </c>
      <c r="E534" s="190">
        <f t="shared" si="730"/>
        <v>9</v>
      </c>
      <c r="F534" s="190" t="str">
        <f t="shared" si="750"/>
        <v>..SOP.030.01020309</v>
      </c>
      <c r="G534" s="190" t="str">
        <f>IF(ISBLANK(N534),"",CONCATENATE(LEFT(F534,15),".",INDEX(Ref!A:A,MATCH(N534,Ref!$K$1:$K$333,0))))</f>
        <v/>
      </c>
      <c r="H534" s="181"/>
      <c r="I534" s="181"/>
      <c r="J534" s="181"/>
      <c r="K534" s="181"/>
      <c r="L534" s="182"/>
      <c r="M534" s="182"/>
      <c r="N534" s="183"/>
      <c r="O534" s="182"/>
      <c r="P534" s="182"/>
      <c r="Q534" s="184"/>
      <c r="R534" s="184"/>
      <c r="S534" s="185" t="str">
        <f>IFERROR(CLEAN(INDEX('Risk Matrix'!$H$7:$L$11,MATCH($Q534,'Risk Matrix'!$F$7:$F$11,0),MATCH($R534,'Risk Matrix'!$H$6:$L$6,0))),"")</f>
        <v/>
      </c>
      <c r="T534" s="85" t="str">
        <f>IF(LEFT($B534,7)=RIGHT('SOP template'!$B$1,7),_xlfn.NUMBERVALUE(RIGHT($S534,2)),"")</f>
        <v/>
      </c>
      <c r="U534" s="182"/>
      <c r="V534" s="182"/>
      <c r="W534" s="182"/>
      <c r="X534" s="182"/>
      <c r="Y534" s="182"/>
      <c r="Z534" s="183"/>
      <c r="AA534" s="186" t="str">
        <f>IFERROR(VLOOKUP(IFERROR(LEFT(S534,4),""),Ref!$AF$2:$AG$5,2,0),"")</f>
        <v/>
      </c>
      <c r="AB534" s="146"/>
      <c r="AC534" s="218"/>
      <c r="AD534" s="187" t="str">
        <f>IFERROR(VLOOKUP(AC534,'Training Matrix'!B$4:C$24,2,0),"")</f>
        <v/>
      </c>
      <c r="AE534" s="218"/>
      <c r="AF534" s="188" t="str">
        <f t="shared" si="738"/>
        <v/>
      </c>
      <c r="AG534" s="189" t="str">
        <f t="shared" ca="1" si="739"/>
        <v/>
      </c>
      <c r="AH534" s="50" t="str">
        <f t="shared" ref="AH534" si="758">IF(OR(AC534="",AE534=""),"",CONCATENATE(AC534,"_",K526,"_",L526))</f>
        <v/>
      </c>
    </row>
    <row r="535" spans="1:34" x14ac:dyDescent="0.25">
      <c r="A535" s="5" t="str">
        <f>IF(LEFT(F535,15)='SOP template'!$B$1,1,"")</f>
        <v/>
      </c>
      <c r="B535" s="190" t="str">
        <f t="shared" si="747"/>
        <v>SOP.030.10</v>
      </c>
      <c r="C535" s="190" t="str">
        <f t="shared" si="719"/>
        <v>SOP.030.5.4</v>
      </c>
      <c r="D535" s="190" t="str">
        <f t="shared" si="720"/>
        <v>SOP.030.4</v>
      </c>
      <c r="E535" s="190">
        <f t="shared" si="730"/>
        <v>10</v>
      </c>
      <c r="F535" s="190" t="str">
        <f t="shared" si="750"/>
        <v>..SOP.030.01020310</v>
      </c>
      <c r="G535" s="190" t="str">
        <f>IF(ISBLANK(N535),"",CONCATENATE(LEFT(F535,15),".",INDEX(Ref!A:A,MATCH(N535,Ref!$K$1:$K$333,0))))</f>
        <v/>
      </c>
      <c r="H535" s="181"/>
      <c r="I535" s="181"/>
      <c r="J535" s="181"/>
      <c r="K535" s="181"/>
      <c r="L535" s="182"/>
      <c r="M535" s="182"/>
      <c r="N535" s="183"/>
      <c r="O535" s="182"/>
      <c r="P535" s="182"/>
      <c r="Q535" s="184"/>
      <c r="R535" s="184"/>
      <c r="S535" s="185" t="str">
        <f>IFERROR(CLEAN(INDEX('Risk Matrix'!$H$7:$L$11,MATCH($Q535,'Risk Matrix'!$F$7:$F$11,0),MATCH($R535,'Risk Matrix'!$H$6:$L$6,0))),"")</f>
        <v/>
      </c>
      <c r="T535" s="85" t="str">
        <f>IF(LEFT($B535,7)=RIGHT('SOP template'!$B$1,7),_xlfn.NUMBERVALUE(RIGHT($S535,2)),"")</f>
        <v/>
      </c>
      <c r="U535" s="182"/>
      <c r="V535" s="182"/>
      <c r="W535" s="182"/>
      <c r="X535" s="182"/>
      <c r="Y535" s="182"/>
      <c r="Z535" s="183"/>
      <c r="AA535" s="186" t="str">
        <f>IFERROR(VLOOKUP(IFERROR(LEFT(S535,4),""),Ref!$AF$2:$AG$5,2,0),"")</f>
        <v/>
      </c>
      <c r="AB535" s="146"/>
      <c r="AC535" s="218"/>
      <c r="AD535" s="187" t="str">
        <f>IFERROR(VLOOKUP(AC535,'Training Matrix'!B$4:C$24,2,0),"")</f>
        <v/>
      </c>
      <c r="AE535" s="218"/>
      <c r="AF535" s="188" t="str">
        <f t="shared" si="738"/>
        <v/>
      </c>
      <c r="AG535" s="189" t="str">
        <f t="shared" ca="1" si="739"/>
        <v/>
      </c>
      <c r="AH535" s="50" t="str">
        <f t="shared" ref="AH535" si="759">IF(OR(AC535="",AE535=""),"",CONCATENATE(AC535,"_",K526,"_",L526))</f>
        <v/>
      </c>
    </row>
    <row r="536" spans="1:34" x14ac:dyDescent="0.25">
      <c r="A536" s="5" t="str">
        <f>IF(LEFT(F536,15)='SOP template'!$B$1,1,"")</f>
        <v/>
      </c>
      <c r="B536" s="190" t="str">
        <f t="shared" ref="B536:B543" si="760">CONCATENATE(LEFT(B535,8),E536)</f>
        <v>SOP.030.11</v>
      </c>
      <c r="C536" s="190" t="str">
        <f t="shared" si="719"/>
        <v>SOP.030.6</v>
      </c>
      <c r="D536" s="190" t="str">
        <f t="shared" si="720"/>
        <v>SOP.030.4.3</v>
      </c>
      <c r="E536" s="190">
        <f t="shared" si="730"/>
        <v>11</v>
      </c>
      <c r="F536" s="190" t="str">
        <f t="shared" ref="F536:F543" si="761">IF(K536=0,LEFT(F535,16)&amp;TEXT(E536,"00"),K536&amp;"."&amp;TEXT(E536,"00"))</f>
        <v>..SOP.030.01020311</v>
      </c>
      <c r="G536" s="190" t="str">
        <f>IF(ISBLANK(N536),"",CONCATENATE(LEFT(F536,15),".",INDEX(Ref!A:A,MATCH(N536,Ref!$K$1:$K$333,0))))</f>
        <v/>
      </c>
      <c r="H536" s="181"/>
      <c r="I536" s="181"/>
      <c r="J536" s="181"/>
      <c r="K536" s="181"/>
      <c r="L536" s="182"/>
      <c r="M536" s="182"/>
      <c r="N536" s="183"/>
      <c r="O536" s="182"/>
      <c r="P536" s="182"/>
      <c r="Q536" s="184"/>
      <c r="R536" s="184"/>
      <c r="S536" s="185" t="str">
        <f>IFERROR(CLEAN(INDEX('Risk Matrix'!$H$7:$L$11,MATCH($Q536,'Risk Matrix'!$F$7:$F$11,0),MATCH($R536,'Risk Matrix'!$H$6:$L$6,0))),"")</f>
        <v/>
      </c>
      <c r="T536" s="85" t="str">
        <f>IF(LEFT($B536,7)=RIGHT('SOP template'!$B$1,7),_xlfn.NUMBERVALUE(RIGHT($S536,2)),"")</f>
        <v/>
      </c>
      <c r="U536" s="182"/>
      <c r="V536" s="182"/>
      <c r="W536" s="182"/>
      <c r="X536" s="182"/>
      <c r="Y536" s="182"/>
      <c r="Z536" s="183"/>
      <c r="AA536" s="186" t="str">
        <f>IFERROR(VLOOKUP(IFERROR(LEFT(S536,4),""),Ref!$AF$2:$AG$5,2,0),"")</f>
        <v/>
      </c>
      <c r="AB536" s="146"/>
      <c r="AC536" s="218"/>
      <c r="AD536" s="187" t="str">
        <f>IFERROR(VLOOKUP(AC536,'Training Matrix'!B$4:C$24,2,0),"")</f>
        <v/>
      </c>
      <c r="AE536" s="218"/>
      <c r="AF536" s="188" t="str">
        <f t="shared" si="738"/>
        <v/>
      </c>
      <c r="AG536" s="189" t="str">
        <f t="shared" ca="1" si="739"/>
        <v/>
      </c>
      <c r="AH536" s="50" t="str">
        <f t="shared" ref="AH536" si="762">IF(OR(AC536="",AE536=""),"",CONCATENATE(AC536,"_",K526,"_",L526))</f>
        <v/>
      </c>
    </row>
    <row r="537" spans="1:34" x14ac:dyDescent="0.25">
      <c r="A537" s="5" t="str">
        <f>IF(LEFT(F537,15)='SOP template'!$B$1,1,"")</f>
        <v/>
      </c>
      <c r="B537" s="190" t="str">
        <f t="shared" si="760"/>
        <v>SOP.030.12</v>
      </c>
      <c r="C537" s="190" t="str">
        <f t="shared" si="719"/>
        <v>SOP.030.6.4</v>
      </c>
      <c r="D537" s="190" t="str">
        <f t="shared" si="720"/>
        <v>SOP.030.4.5</v>
      </c>
      <c r="E537" s="190">
        <f t="shared" si="730"/>
        <v>12</v>
      </c>
      <c r="F537" s="190" t="str">
        <f t="shared" si="761"/>
        <v>..SOP.030.01020312</v>
      </c>
      <c r="G537" s="190" t="str">
        <f>IF(ISBLANK(N537),"",CONCATENATE(LEFT(F537,15),".",INDEX(Ref!A:A,MATCH(N537,Ref!$K$1:$K$333,0))))</f>
        <v/>
      </c>
      <c r="H537" s="181"/>
      <c r="I537" s="181"/>
      <c r="J537" s="181"/>
      <c r="K537" s="181"/>
      <c r="L537" s="182"/>
      <c r="M537" s="182"/>
      <c r="N537" s="183"/>
      <c r="O537" s="182"/>
      <c r="P537" s="182"/>
      <c r="Q537" s="184"/>
      <c r="R537" s="184"/>
      <c r="S537" s="185" t="str">
        <f>IFERROR(CLEAN(INDEX('Risk Matrix'!$H$7:$L$11,MATCH($Q537,'Risk Matrix'!$F$7:$F$11,0),MATCH($R537,'Risk Matrix'!$H$6:$L$6,0))),"")</f>
        <v/>
      </c>
      <c r="T537" s="85" t="str">
        <f>IF(LEFT($B537,7)=RIGHT('SOP template'!$B$1,7),_xlfn.NUMBERVALUE(RIGHT($S537,2)),"")</f>
        <v/>
      </c>
      <c r="U537" s="182"/>
      <c r="V537" s="182"/>
      <c r="W537" s="182"/>
      <c r="X537" s="182"/>
      <c r="Y537" s="182"/>
      <c r="Z537" s="183"/>
      <c r="AA537" s="186" t="str">
        <f>IFERROR(VLOOKUP(IFERROR(LEFT(S537,4),""),Ref!$AF$2:$AG$5,2,0),"")</f>
        <v/>
      </c>
      <c r="AB537" s="146"/>
      <c r="AC537" s="218"/>
      <c r="AD537" s="187" t="str">
        <f>IFERROR(VLOOKUP(AC537,'Training Matrix'!B$4:C$24,2,0),"")</f>
        <v/>
      </c>
      <c r="AE537" s="218"/>
      <c r="AF537" s="188" t="str">
        <f t="shared" si="738"/>
        <v/>
      </c>
      <c r="AG537" s="189" t="str">
        <f t="shared" ca="1" si="739"/>
        <v/>
      </c>
      <c r="AH537" s="50" t="str">
        <f t="shared" ref="AH537" si="763">IF(OR(AC537="",AE537=""),"",CONCATENATE(AC537,"_",K526,"_",L526))</f>
        <v/>
      </c>
    </row>
    <row r="538" spans="1:34" x14ac:dyDescent="0.25">
      <c r="A538" s="5" t="str">
        <f>IF(LEFT(F538,15)='SOP template'!$B$1,1,"")</f>
        <v/>
      </c>
      <c r="B538" s="190" t="str">
        <f t="shared" si="760"/>
        <v>SOP.030.13</v>
      </c>
      <c r="C538" s="190" t="str">
        <f t="shared" si="719"/>
        <v>SOP.030.</v>
      </c>
      <c r="D538" s="190" t="str">
        <f t="shared" si="720"/>
        <v>SOP.030.</v>
      </c>
      <c r="E538" s="190">
        <f t="shared" si="730"/>
        <v>13</v>
      </c>
      <c r="F538" s="190" t="str">
        <f t="shared" si="761"/>
        <v>..SOP.030.01020313</v>
      </c>
      <c r="G538" s="190" t="str">
        <f>IF(ISBLANK(N538),"",CONCATENATE(LEFT(F538,15),".",INDEX(Ref!A:A,MATCH(N538,Ref!$K$1:$K$333,0))))</f>
        <v/>
      </c>
      <c r="H538" s="181"/>
      <c r="I538" s="181"/>
      <c r="J538" s="181"/>
      <c r="K538" s="181"/>
      <c r="L538" s="182"/>
      <c r="M538" s="182"/>
      <c r="N538" s="183"/>
      <c r="O538" s="182"/>
      <c r="P538" s="182"/>
      <c r="Q538" s="184"/>
      <c r="R538" s="184"/>
      <c r="S538" s="185" t="str">
        <f>IFERROR(CLEAN(INDEX('Risk Matrix'!$H$7:$L$11,MATCH($Q538,'Risk Matrix'!$F$7:$F$11,0),MATCH($R538,'Risk Matrix'!$H$6:$L$6,0))),"")</f>
        <v/>
      </c>
      <c r="T538" s="85" t="str">
        <f>IF(LEFT($B538,7)=RIGHT('SOP template'!$B$1,7),_xlfn.NUMBERVALUE(RIGHT($S538,2)),"")</f>
        <v/>
      </c>
      <c r="U538" s="182"/>
      <c r="V538" s="182"/>
      <c r="W538" s="182"/>
      <c r="X538" s="182"/>
      <c r="Y538" s="182"/>
      <c r="Z538" s="183"/>
      <c r="AA538" s="186" t="str">
        <f>IFERROR(VLOOKUP(IFERROR(LEFT(S538,4),""),Ref!$AF$2:$AG$5,2,0),"")</f>
        <v/>
      </c>
      <c r="AB538" s="146"/>
      <c r="AC538" s="218"/>
      <c r="AD538" s="187" t="str">
        <f>IFERROR(VLOOKUP(AC538,'Training Matrix'!B$4:C$24,2,0),"")</f>
        <v/>
      </c>
      <c r="AE538" s="218"/>
      <c r="AF538" s="188" t="str">
        <f t="shared" si="738"/>
        <v/>
      </c>
      <c r="AG538" s="189" t="str">
        <f t="shared" ca="1" si="739"/>
        <v/>
      </c>
      <c r="AH538" s="50" t="str">
        <f t="shared" ref="AH538" si="764">IF(OR(AC538="",AE538=""),"",CONCATENATE(AC538,"_",K526,"_",L526))</f>
        <v/>
      </c>
    </row>
    <row r="539" spans="1:34" x14ac:dyDescent="0.25">
      <c r="A539" s="5" t="str">
        <f>IF(LEFT(F539,15)='SOP template'!$B$1,1,"")</f>
        <v/>
      </c>
      <c r="B539" s="190" t="str">
        <f t="shared" si="760"/>
        <v>SOP.030.14</v>
      </c>
      <c r="C539" s="190" t="str">
        <f t="shared" si="719"/>
        <v>SOP.030.</v>
      </c>
      <c r="D539" s="190" t="str">
        <f t="shared" si="720"/>
        <v>SOP.030.</v>
      </c>
      <c r="E539" s="190">
        <f t="shared" si="730"/>
        <v>14</v>
      </c>
      <c r="F539" s="190" t="str">
        <f t="shared" si="761"/>
        <v>..SOP.030.01020314</v>
      </c>
      <c r="G539" s="190" t="str">
        <f>IF(ISBLANK(N539),"",CONCATENATE(LEFT(F539,15),".",INDEX(Ref!A:A,MATCH(N539,Ref!$K$1:$K$333,0))))</f>
        <v/>
      </c>
      <c r="H539" s="181"/>
      <c r="I539" s="181"/>
      <c r="J539" s="181"/>
      <c r="K539" s="181"/>
      <c r="L539" s="182"/>
      <c r="M539" s="182"/>
      <c r="N539" s="183"/>
      <c r="O539" s="182"/>
      <c r="P539" s="182"/>
      <c r="Q539" s="184"/>
      <c r="R539" s="184"/>
      <c r="S539" s="185" t="str">
        <f>IFERROR(CLEAN(INDEX('Risk Matrix'!$H$7:$L$11,MATCH($Q539,'Risk Matrix'!$F$7:$F$11,0),MATCH($R539,'Risk Matrix'!$H$6:$L$6,0))),"")</f>
        <v/>
      </c>
      <c r="T539" s="85" t="str">
        <f>IF(LEFT($B539,7)=RIGHT('SOP template'!$B$1,7),_xlfn.NUMBERVALUE(RIGHT($S539,2)),"")</f>
        <v/>
      </c>
      <c r="U539" s="182"/>
      <c r="V539" s="182"/>
      <c r="W539" s="182"/>
      <c r="X539" s="182"/>
      <c r="Y539" s="182"/>
      <c r="Z539" s="183"/>
      <c r="AA539" s="186" t="str">
        <f>IFERROR(VLOOKUP(IFERROR(LEFT(S539,4),""),Ref!$AF$2:$AG$5,2,0),"")</f>
        <v/>
      </c>
      <c r="AB539" s="146"/>
      <c r="AC539" s="218"/>
      <c r="AD539" s="187" t="str">
        <f>IFERROR(VLOOKUP(AC539,'Training Matrix'!B$4:C$24,2,0),"")</f>
        <v/>
      </c>
      <c r="AE539" s="218"/>
      <c r="AF539" s="188" t="str">
        <f t="shared" si="738"/>
        <v/>
      </c>
      <c r="AG539" s="189" t="str">
        <f t="shared" ca="1" si="739"/>
        <v/>
      </c>
      <c r="AH539" s="50" t="str">
        <f t="shared" ref="AH539" si="765">IF(OR(AC539="",AE539=""),"",CONCATENATE(AC539,"_",K526,"_",L526))</f>
        <v/>
      </c>
    </row>
    <row r="540" spans="1:34" x14ac:dyDescent="0.25">
      <c r="A540" s="5" t="str">
        <f>IF(LEFT(F540,15)='SOP template'!$B$1,1,"")</f>
        <v/>
      </c>
      <c r="B540" s="190" t="str">
        <f t="shared" si="760"/>
        <v>SOP.030.15</v>
      </c>
      <c r="C540" s="190" t="str">
        <f t="shared" si="719"/>
        <v>SOP.030.</v>
      </c>
      <c r="D540" s="190" t="str">
        <f t="shared" si="720"/>
        <v>SOP.030.</v>
      </c>
      <c r="E540" s="190">
        <f t="shared" si="730"/>
        <v>15</v>
      </c>
      <c r="F540" s="190" t="str">
        <f t="shared" si="761"/>
        <v>..SOP.030.01020315</v>
      </c>
      <c r="G540" s="190" t="str">
        <f>IF(ISBLANK(N540),"",CONCATENATE(LEFT(F540,15),".",INDEX(Ref!A:A,MATCH(N540,Ref!$K$1:$K$333,0))))</f>
        <v/>
      </c>
      <c r="H540" s="181"/>
      <c r="I540" s="181"/>
      <c r="J540" s="181"/>
      <c r="K540" s="181"/>
      <c r="L540" s="182"/>
      <c r="M540" s="182"/>
      <c r="N540" s="183"/>
      <c r="O540" s="182"/>
      <c r="P540" s="182"/>
      <c r="Q540" s="184"/>
      <c r="R540" s="184"/>
      <c r="S540" s="185" t="str">
        <f>IFERROR(CLEAN(INDEX('Risk Matrix'!$H$7:$L$11,MATCH($Q540,'Risk Matrix'!$F$7:$F$11,0),MATCH($R540,'Risk Matrix'!$H$6:$L$6,0))),"")</f>
        <v/>
      </c>
      <c r="T540" s="85" t="str">
        <f>IF(LEFT($B540,7)=RIGHT('SOP template'!$B$1,7),_xlfn.NUMBERVALUE(RIGHT($S540,2)),"")</f>
        <v/>
      </c>
      <c r="U540" s="182"/>
      <c r="V540" s="182"/>
      <c r="W540" s="182"/>
      <c r="X540" s="182"/>
      <c r="Y540" s="182"/>
      <c r="Z540" s="183"/>
      <c r="AA540" s="186" t="str">
        <f>IFERROR(VLOOKUP(IFERROR(LEFT(S540,4),""),Ref!$AF$2:$AG$5,2,0),"")</f>
        <v/>
      </c>
      <c r="AB540" s="146"/>
      <c r="AC540" s="218"/>
      <c r="AD540" s="187" t="str">
        <f>IFERROR(VLOOKUP(AC540,'Training Matrix'!B$4:C$24,2,0),"")</f>
        <v/>
      </c>
      <c r="AE540" s="218"/>
      <c r="AF540" s="188" t="str">
        <f t="shared" si="738"/>
        <v/>
      </c>
      <c r="AG540" s="189" t="str">
        <f t="shared" ca="1" si="739"/>
        <v/>
      </c>
      <c r="AH540" s="50" t="str">
        <f t="shared" ref="AH540" si="766">IF(OR(AC540="",AE540=""),"",CONCATENATE(AC540,"_",K526,"_",L526))</f>
        <v/>
      </c>
    </row>
    <row r="541" spans="1:34" x14ac:dyDescent="0.25">
      <c r="A541" s="5" t="str">
        <f>IF(LEFT(F541,15)='SOP template'!$B$1,1,"")</f>
        <v/>
      </c>
      <c r="B541" s="190" t="str">
        <f t="shared" si="760"/>
        <v>SOP.030.16</v>
      </c>
      <c r="C541" s="190" t="str">
        <f t="shared" si="719"/>
        <v>SOP.030.</v>
      </c>
      <c r="D541" s="190" t="str">
        <f t="shared" si="720"/>
        <v>SOP.030.</v>
      </c>
      <c r="E541" s="190">
        <f t="shared" si="730"/>
        <v>16</v>
      </c>
      <c r="F541" s="190" t="str">
        <f t="shared" si="761"/>
        <v>..SOP.030.01020316</v>
      </c>
      <c r="G541" s="190" t="str">
        <f>IF(ISBLANK(N541),"",CONCATENATE(LEFT(F541,15),".",INDEX(Ref!A:A,MATCH(N541,Ref!$K$1:$K$333,0))))</f>
        <v/>
      </c>
      <c r="H541" s="181"/>
      <c r="I541" s="181"/>
      <c r="J541" s="181"/>
      <c r="K541" s="181"/>
      <c r="L541" s="182"/>
      <c r="M541" s="182"/>
      <c r="N541" s="183"/>
      <c r="O541" s="182"/>
      <c r="P541" s="182"/>
      <c r="Q541" s="184"/>
      <c r="R541" s="184"/>
      <c r="S541" s="185" t="str">
        <f>IFERROR(CLEAN(INDEX('Risk Matrix'!$H$7:$L$11,MATCH($Q541,'Risk Matrix'!$F$7:$F$11,0),MATCH($R541,'Risk Matrix'!$H$6:$L$6,0))),"")</f>
        <v/>
      </c>
      <c r="T541" s="85" t="str">
        <f>IF(LEFT($B541,7)=RIGHT('SOP template'!$B$1,7),_xlfn.NUMBERVALUE(RIGHT($S541,2)),"")</f>
        <v/>
      </c>
      <c r="U541" s="182"/>
      <c r="V541" s="182"/>
      <c r="W541" s="182"/>
      <c r="X541" s="182"/>
      <c r="Y541" s="182"/>
      <c r="Z541" s="183"/>
      <c r="AA541" s="186" t="str">
        <f>IFERROR(VLOOKUP(IFERROR(LEFT(S541,4),""),Ref!$AF$2:$AG$5,2,0),"")</f>
        <v/>
      </c>
      <c r="AB541" s="146"/>
      <c r="AC541" s="218"/>
      <c r="AD541" s="187" t="str">
        <f>IFERROR(VLOOKUP(AC541,'Training Matrix'!B$4:C$24,2,0),"")</f>
        <v/>
      </c>
      <c r="AE541" s="218"/>
      <c r="AF541" s="188" t="str">
        <f t="shared" si="738"/>
        <v/>
      </c>
      <c r="AG541" s="189" t="str">
        <f t="shared" ca="1" si="739"/>
        <v/>
      </c>
      <c r="AH541" s="50" t="str">
        <f t="shared" ref="AH541" si="767">IF(OR(AC541="",AE541=""),"",CONCATENATE(AC541,"_",K526,"_",L526))</f>
        <v/>
      </c>
    </row>
    <row r="542" spans="1:34" x14ac:dyDescent="0.25">
      <c r="A542" s="5" t="str">
        <f>IF(LEFT(F542,15)='SOP template'!$B$1,1,"")</f>
        <v/>
      </c>
      <c r="B542" s="190" t="str">
        <f t="shared" si="760"/>
        <v>SOP.030.17</v>
      </c>
      <c r="C542" s="190" t="str">
        <f t="shared" si="719"/>
        <v>SOP.030.</v>
      </c>
      <c r="D542" s="190" t="str">
        <f t="shared" si="720"/>
        <v>SOP.030.</v>
      </c>
      <c r="E542" s="190">
        <f t="shared" si="730"/>
        <v>17</v>
      </c>
      <c r="F542" s="190" t="str">
        <f t="shared" si="761"/>
        <v>..SOP.030.01020317</v>
      </c>
      <c r="G542" s="190" t="str">
        <f>IF(ISBLANK(N542),"",CONCATENATE(LEFT(F542,15),".",INDEX(Ref!A:A,MATCH(N542,Ref!$K$1:$K$333,0))))</f>
        <v/>
      </c>
      <c r="H542" s="181"/>
      <c r="I542" s="181"/>
      <c r="J542" s="181"/>
      <c r="K542" s="181"/>
      <c r="L542" s="182"/>
      <c r="M542" s="182"/>
      <c r="N542" s="183"/>
      <c r="O542" s="182"/>
      <c r="P542" s="182"/>
      <c r="Q542" s="184"/>
      <c r="R542" s="184"/>
      <c r="S542" s="185" t="str">
        <f>IFERROR(CLEAN(INDEX('Risk Matrix'!$H$7:$L$11,MATCH($Q542,'Risk Matrix'!$F$7:$F$11,0),MATCH($R542,'Risk Matrix'!$H$6:$L$6,0))),"")</f>
        <v/>
      </c>
      <c r="T542" s="85" t="str">
        <f>IF(LEFT($B542,7)=RIGHT('SOP template'!$B$1,7),_xlfn.NUMBERVALUE(RIGHT($S542,2)),"")</f>
        <v/>
      </c>
      <c r="U542" s="182"/>
      <c r="V542" s="182"/>
      <c r="W542" s="182"/>
      <c r="X542" s="182"/>
      <c r="Y542" s="182"/>
      <c r="Z542" s="183"/>
      <c r="AA542" s="186" t="str">
        <f>IFERROR(VLOOKUP(IFERROR(LEFT(S542,4),""),Ref!$AF$2:$AG$5,2,0),"")</f>
        <v/>
      </c>
      <c r="AB542" s="146"/>
      <c r="AC542" s="218"/>
      <c r="AD542" s="187" t="str">
        <f>IFERROR(VLOOKUP(AC542,'Training Matrix'!B$4:C$24,2,0),"")</f>
        <v/>
      </c>
      <c r="AE542" s="218"/>
      <c r="AF542" s="188" t="str">
        <f t="shared" si="738"/>
        <v/>
      </c>
      <c r="AG542" s="189" t="str">
        <f t="shared" ca="1" si="739"/>
        <v/>
      </c>
      <c r="AH542" s="50" t="str">
        <f t="shared" ref="AH542" si="768">IF(OR(AC542="",AE542=""),"",CONCATENATE(AC542,"_",K526,"_",L526))</f>
        <v/>
      </c>
    </row>
    <row r="543" spans="1:34" x14ac:dyDescent="0.25">
      <c r="A543" s="5" t="str">
        <f>IF(LEFT(F543,15)='SOP template'!$B$1,1,"")</f>
        <v/>
      </c>
      <c r="B543" s="190" t="str">
        <f t="shared" si="760"/>
        <v>SOP.030.18</v>
      </c>
      <c r="C543" s="190" t="str">
        <f t="shared" si="719"/>
        <v>SOP.030.</v>
      </c>
      <c r="D543" s="190" t="str">
        <f t="shared" si="720"/>
        <v>SOP.030.</v>
      </c>
      <c r="E543" s="190">
        <f t="shared" si="730"/>
        <v>18</v>
      </c>
      <c r="F543" s="190" t="str">
        <f t="shared" si="761"/>
        <v>..SOP.030.01020318</v>
      </c>
      <c r="G543" s="190" t="str">
        <f>IF(ISBLANK(N543),"",CONCATENATE(LEFT(F543,15),".",INDEX(Ref!A:A,MATCH(N543,Ref!$K$1:$K$333,0))))</f>
        <v/>
      </c>
      <c r="H543" s="181"/>
      <c r="I543" s="181"/>
      <c r="J543" s="181"/>
      <c r="K543" s="181"/>
      <c r="L543" s="182"/>
      <c r="M543" s="182"/>
      <c r="N543" s="183"/>
      <c r="O543" s="182"/>
      <c r="P543" s="182"/>
      <c r="Q543" s="184"/>
      <c r="R543" s="184"/>
      <c r="S543" s="185" t="str">
        <f>IFERROR(CLEAN(INDEX('Risk Matrix'!$H$7:$L$11,MATCH($Q543,'Risk Matrix'!$F$7:$F$11,0),MATCH($R543,'Risk Matrix'!$H$6:$L$6,0))),"")</f>
        <v/>
      </c>
      <c r="T543" s="85" t="str">
        <f>IF(LEFT($B543,7)=RIGHT('SOP template'!$B$1,7),_xlfn.NUMBERVALUE(RIGHT($S543,2)),"")</f>
        <v/>
      </c>
      <c r="U543" s="182"/>
      <c r="V543" s="182"/>
      <c r="W543" s="182"/>
      <c r="X543" s="182"/>
      <c r="Y543" s="182"/>
      <c r="Z543" s="183"/>
      <c r="AA543" s="186" t="str">
        <f>IFERROR(VLOOKUP(IFERROR(LEFT(S543,4),""),Ref!$AF$2:$AG$5,2,0),"")</f>
        <v/>
      </c>
      <c r="AB543" s="146"/>
      <c r="AC543" s="218"/>
      <c r="AD543" s="187" t="str">
        <f>IFERROR(VLOOKUP(AC543,'Training Matrix'!B$4:C$24,2,0),"")</f>
        <v/>
      </c>
      <c r="AE543" s="218"/>
      <c r="AF543" s="188" t="str">
        <f t="shared" si="738"/>
        <v/>
      </c>
      <c r="AG543" s="189" t="str">
        <f t="shared" ca="1" si="739"/>
        <v/>
      </c>
      <c r="AH543" s="50" t="str">
        <f t="shared" ref="AH543" si="769">IF(OR(AC543="",AE543=""),"",CONCATENATE(AC543,"_",K526,"_",L526))</f>
        <v/>
      </c>
    </row>
    <row r="544" spans="1:34" x14ac:dyDescent="0.25">
      <c r="B544"/>
      <c r="C544"/>
      <c r="D544"/>
      <c r="E544"/>
      <c r="F544"/>
      <c r="G544"/>
      <c r="L544" s="177"/>
      <c r="M544" s="177"/>
      <c r="O544" s="177"/>
      <c r="P544" s="177"/>
      <c r="Q544" s="177"/>
      <c r="T544"/>
      <c r="U544" s="177"/>
      <c r="V544" s="177"/>
    </row>
    <row r="545" spans="12:26" customFormat="1" x14ac:dyDescent="0.25">
      <c r="L545" s="177"/>
      <c r="M545" s="177"/>
      <c r="N545" s="177"/>
      <c r="O545" s="177"/>
      <c r="P545" s="177"/>
      <c r="Q545" s="177"/>
      <c r="R545" s="177"/>
      <c r="U545" s="177"/>
      <c r="V545" s="177"/>
      <c r="W545" s="175"/>
      <c r="X545" s="175"/>
      <c r="Y545" s="175"/>
      <c r="Z545" s="177"/>
    </row>
    <row r="546" spans="12:26" customFormat="1" x14ac:dyDescent="0.25">
      <c r="L546" s="177"/>
      <c r="M546" s="177"/>
      <c r="N546" s="177"/>
      <c r="O546" s="177"/>
      <c r="P546" s="177"/>
      <c r="Q546" s="177"/>
      <c r="R546" s="177"/>
      <c r="U546" s="177"/>
      <c r="V546" s="177"/>
      <c r="W546" s="175"/>
      <c r="X546" s="175"/>
      <c r="Y546" s="175"/>
      <c r="Z546" s="177"/>
    </row>
    <row r="547" spans="12:26" customFormat="1" x14ac:dyDescent="0.25">
      <c r="L547" s="177"/>
      <c r="M547" s="177"/>
      <c r="N547" s="177"/>
      <c r="O547" s="177"/>
      <c r="P547" s="177"/>
      <c r="Q547" s="177"/>
      <c r="R547" s="177"/>
      <c r="U547" s="177"/>
      <c r="V547" s="177"/>
      <c r="W547" s="175"/>
      <c r="X547" s="175"/>
      <c r="Y547" s="175"/>
      <c r="Z547" s="177"/>
    </row>
    <row r="548" spans="12:26" customFormat="1" x14ac:dyDescent="0.25">
      <c r="L548" s="177"/>
      <c r="M548" s="177"/>
      <c r="N548" s="177"/>
      <c r="O548" s="177"/>
      <c r="P548" s="177"/>
      <c r="Q548" s="177"/>
      <c r="R548" s="177"/>
      <c r="U548" s="177"/>
      <c r="V548" s="177"/>
      <c r="W548" s="175"/>
      <c r="X548" s="175"/>
      <c r="Y548" s="175"/>
      <c r="Z548" s="177"/>
    </row>
    <row r="549" spans="12:26" customFormat="1" x14ac:dyDescent="0.25">
      <c r="L549" s="177"/>
      <c r="M549" s="177"/>
      <c r="N549" s="177"/>
      <c r="O549" s="177"/>
      <c r="P549" s="177"/>
      <c r="Q549" s="177"/>
      <c r="R549" s="177"/>
      <c r="U549" s="177"/>
      <c r="V549" s="177"/>
      <c r="W549" s="175"/>
      <c r="X549" s="175"/>
      <c r="Y549" s="175"/>
      <c r="Z549" s="177"/>
    </row>
    <row r="550" spans="12:26" customFormat="1" x14ac:dyDescent="0.25">
      <c r="L550" s="177"/>
      <c r="M550" s="177"/>
      <c r="N550" s="177"/>
      <c r="O550" s="177"/>
      <c r="P550" s="177"/>
      <c r="Q550" s="177"/>
      <c r="R550" s="177"/>
      <c r="U550" s="177"/>
      <c r="V550" s="177"/>
      <c r="W550" s="175"/>
      <c r="X550" s="175"/>
      <c r="Y550" s="175"/>
      <c r="Z550" s="177"/>
    </row>
    <row r="551" spans="12:26" customFormat="1" x14ac:dyDescent="0.25">
      <c r="L551" s="177"/>
      <c r="M551" s="177"/>
      <c r="N551" s="177"/>
      <c r="O551" s="177"/>
      <c r="P551" s="177"/>
      <c r="Q551" s="177"/>
      <c r="R551" s="177"/>
      <c r="U551" s="177"/>
      <c r="V551" s="177"/>
      <c r="W551" s="175"/>
      <c r="X551" s="175"/>
      <c r="Y551" s="175"/>
      <c r="Z551" s="177"/>
    </row>
    <row r="552" spans="12:26" customFormat="1" x14ac:dyDescent="0.25">
      <c r="L552" s="177"/>
      <c r="M552" s="177"/>
      <c r="N552" s="177"/>
      <c r="O552" s="177"/>
      <c r="P552" s="177"/>
      <c r="Q552" s="177"/>
      <c r="R552" s="177"/>
      <c r="U552" s="177"/>
      <c r="V552" s="177"/>
      <c r="W552" s="175"/>
      <c r="X552" s="175"/>
      <c r="Y552" s="175"/>
      <c r="Z552" s="177"/>
    </row>
    <row r="553" spans="12:26" customFormat="1" x14ac:dyDescent="0.25">
      <c r="L553" s="177"/>
      <c r="M553" s="177"/>
      <c r="N553" s="177"/>
      <c r="O553" s="177"/>
      <c r="P553" s="177"/>
      <c r="Q553" s="177"/>
      <c r="R553" s="177"/>
      <c r="U553" s="177"/>
      <c r="V553" s="177"/>
      <c r="W553" s="175"/>
      <c r="X553" s="175"/>
      <c r="Y553" s="175"/>
      <c r="Z553" s="177"/>
    </row>
    <row r="554" spans="12:26" customFormat="1" x14ac:dyDescent="0.25">
      <c r="L554" s="177"/>
      <c r="M554" s="177"/>
      <c r="N554" s="177"/>
      <c r="O554" s="177"/>
      <c r="P554" s="177"/>
      <c r="Q554" s="177"/>
      <c r="R554" s="177"/>
      <c r="U554" s="177"/>
      <c r="V554" s="177"/>
      <c r="W554" s="175"/>
      <c r="X554" s="175"/>
      <c r="Y554" s="175"/>
      <c r="Z554" s="177"/>
    </row>
    <row r="555" spans="12:26" customFormat="1" x14ac:dyDescent="0.25">
      <c r="L555" s="177"/>
      <c r="M555" s="177"/>
      <c r="N555" s="177"/>
      <c r="O555" s="177"/>
      <c r="P555" s="177"/>
      <c r="Q555" s="177"/>
      <c r="R555" s="177"/>
      <c r="U555" s="177"/>
      <c r="V555" s="177"/>
      <c r="W555" s="175"/>
      <c r="X555" s="175"/>
      <c r="Y555" s="175"/>
      <c r="Z555" s="177"/>
    </row>
    <row r="556" spans="12:26" customFormat="1" x14ac:dyDescent="0.25">
      <c r="L556" s="177"/>
      <c r="M556" s="177"/>
      <c r="N556" s="177"/>
      <c r="O556" s="177"/>
      <c r="P556" s="177"/>
      <c r="Q556" s="177"/>
      <c r="R556" s="177"/>
      <c r="U556" s="177"/>
      <c r="V556" s="177"/>
      <c r="W556" s="175"/>
      <c r="X556" s="175"/>
      <c r="Y556" s="175"/>
      <c r="Z556" s="177"/>
    </row>
    <row r="557" spans="12:26" customFormat="1" x14ac:dyDescent="0.25">
      <c r="L557" s="177"/>
      <c r="M557" s="177"/>
      <c r="N557" s="177"/>
      <c r="O557" s="177"/>
      <c r="P557" s="177"/>
      <c r="Q557" s="177"/>
      <c r="R557" s="177"/>
      <c r="U557" s="177"/>
      <c r="V557" s="177"/>
      <c r="W557" s="175"/>
      <c r="X557" s="175"/>
      <c r="Y557" s="175"/>
      <c r="Z557" s="177"/>
    </row>
    <row r="558" spans="12:26" customFormat="1" x14ac:dyDescent="0.25">
      <c r="L558" s="177"/>
      <c r="M558" s="177"/>
      <c r="N558" s="177"/>
      <c r="O558" s="177"/>
      <c r="P558" s="177"/>
      <c r="Q558" s="177"/>
      <c r="R558" s="177"/>
      <c r="U558" s="177"/>
      <c r="V558" s="177"/>
      <c r="W558" s="175"/>
      <c r="X558" s="175"/>
      <c r="Y558" s="175"/>
      <c r="Z558" s="177"/>
    </row>
    <row r="559" spans="12:26" customFormat="1" x14ac:dyDescent="0.25">
      <c r="L559" s="177"/>
      <c r="M559" s="177"/>
      <c r="N559" s="177"/>
      <c r="O559" s="177"/>
      <c r="P559" s="177"/>
      <c r="Q559" s="177"/>
      <c r="R559" s="177"/>
      <c r="U559" s="177"/>
      <c r="V559" s="177"/>
      <c r="W559" s="175"/>
      <c r="X559" s="175"/>
      <c r="Y559" s="175"/>
      <c r="Z559" s="177"/>
    </row>
    <row r="560" spans="12:26" customFormat="1" x14ac:dyDescent="0.25">
      <c r="L560" s="177"/>
      <c r="M560" s="177"/>
      <c r="N560" s="177"/>
      <c r="O560" s="177"/>
      <c r="P560" s="177"/>
      <c r="Q560" s="177"/>
      <c r="R560" s="177"/>
      <c r="U560" s="177"/>
      <c r="V560" s="177"/>
      <c r="W560" s="175"/>
      <c r="X560" s="175"/>
      <c r="Y560" s="175"/>
      <c r="Z560" s="177"/>
    </row>
    <row r="561" spans="12:26" customFormat="1" x14ac:dyDescent="0.25">
      <c r="L561" s="177"/>
      <c r="M561" s="177"/>
      <c r="N561" s="177"/>
      <c r="O561" s="177"/>
      <c r="P561" s="177"/>
      <c r="Q561" s="177"/>
      <c r="R561" s="177"/>
      <c r="U561" s="177"/>
      <c r="V561" s="177"/>
      <c r="W561" s="175"/>
      <c r="X561" s="175"/>
      <c r="Y561" s="175"/>
      <c r="Z561" s="177"/>
    </row>
  </sheetData>
  <sheetProtection algorithmName="SHA-512" hashValue="elI51CELDN3eT6Zud3PKq8KUh4mwez8yRCAxKZoAKz3OgHjRZyvDQq/7cdcQYrJ+MOnYltSj54sk23HZLizhRQ==" saltValue="cmWrKoRAATqUaj7EPczYoA==" spinCount="100000" sheet="1" formatRows="0"/>
  <mergeCells count="3">
    <mergeCell ref="P2:P3"/>
    <mergeCell ref="O2:O3"/>
    <mergeCell ref="AC2:AG2"/>
  </mergeCells>
  <conditionalFormatting sqref="O240:O241">
    <cfRule type="containsBlanks" dxfId="83" priority="279">
      <formula>LEN(TRIM(O240))=0</formula>
    </cfRule>
  </conditionalFormatting>
  <conditionalFormatting sqref="O261">
    <cfRule type="containsBlanks" dxfId="82" priority="276">
      <formula>LEN(TRIM(O261))=0</formula>
    </cfRule>
  </conditionalFormatting>
  <conditionalFormatting sqref="O10:P10">
    <cfRule type="containsBlanks" dxfId="81" priority="240">
      <formula>LEN(TRIM(O10))=0</formula>
    </cfRule>
  </conditionalFormatting>
  <conditionalFormatting sqref="O22:P25">
    <cfRule type="containsBlanks" dxfId="80" priority="85">
      <formula>LEN(TRIM(O22))=0</formula>
    </cfRule>
  </conditionalFormatting>
  <conditionalFormatting sqref="O4:R7">
    <cfRule type="containsBlanks" dxfId="79" priority="232">
      <formula>LEN(TRIM(O4))=0</formula>
    </cfRule>
  </conditionalFormatting>
  <conditionalFormatting sqref="O40:R45">
    <cfRule type="containsBlanks" dxfId="78" priority="75">
      <formula>LEN(TRIM(O40))=0</formula>
    </cfRule>
  </conditionalFormatting>
  <conditionalFormatting sqref="O47:R165">
    <cfRule type="containsBlanks" dxfId="77" priority="26">
      <formula>LEN(TRIM(O47))=0</formula>
    </cfRule>
  </conditionalFormatting>
  <conditionalFormatting sqref="O172:R543">
    <cfRule type="containsBlanks" dxfId="76" priority="257">
      <formula>LEN(TRIM(O172))=0</formula>
    </cfRule>
  </conditionalFormatting>
  <conditionalFormatting sqref="S4:S543">
    <cfRule type="cellIs" dxfId="75" priority="300" operator="equal">
      <formula>"Extreme 4"</formula>
    </cfRule>
    <cfRule type="cellIs" dxfId="74" priority="303" operator="equal">
      <formula>"High 3"</formula>
    </cfRule>
    <cfRule type="cellIs" dxfId="73" priority="305" operator="equal">
      <formula>"Medium 2"</formula>
    </cfRule>
    <cfRule type="cellIs" dxfId="72" priority="308" operator="equal">
      <formula>"Low 1"</formula>
    </cfRule>
  </conditionalFormatting>
  <conditionalFormatting sqref="S4:V6 S7:T7 O8:V9 S10:T10 S11:V21 Q22:T25 O26:U27 O28:V39 S40:T49 S50:V62 S63:T63 S64:V79 S80:T80 S81:V130 S131:U149 S150:T150 S151:U165 O166:T171 S172:U201 S202:V208 S209:U221 S222:T222 S223:U240 S241:T241 S242:U260 S261:T261 S262:U309 S310:T315 S316:U363 S364:T371 S372:Z432 S433:S543 X5:X13 X13:Z21 X23:X34 X31:Y32 X33:Z39 X40:X48 Z40:Z50 X49:Y50 T454:Z543 V10:V12 V22:V29 V40:V48 U46:V49 V62:V63 V131:V201 V209:V363 B5:N10 AC4:AC308 Q10:R21 B11:P21 AD12:AH16 AD30:AH34 B46:R46 AD47:AH51 AD66:AH70 AD102:AH106 AC107:AH111 AD118:AH121 AC122:AH129 AD136:AH139 AD190:AH193 AD262:AH265 T433:T453 B23:N39 B4:K4 N4 B22:K22 N22 B41:N45 B40:K40 N40 AC4:AH11 AC17:AH29 AC35:AH46 AC52:AH65 AC71:AH101 AD117 AC112:AD116 AE112:AH117 AD135 AC130:AD134 AE130:AH135 AC140:AH183 AC184:AD188 AD189 AE184:AH189 AC194:AH255 AC256:AD260 AD261 AE256:AH261 AC266:AH543">
    <cfRule type="containsBlanks" dxfId="71" priority="339">
      <formula>LEN(TRIM(B4))=0</formula>
    </cfRule>
  </conditionalFormatting>
  <conditionalFormatting sqref="U10">
    <cfRule type="containsBlanks" dxfId="70" priority="239">
      <formula>LEN(TRIM(U10))=0</formula>
    </cfRule>
  </conditionalFormatting>
  <conditionalFormatting sqref="U22:U25">
    <cfRule type="containsBlanks" dxfId="69" priority="84">
      <formula>LEN(TRIM(U22))=0</formula>
    </cfRule>
  </conditionalFormatting>
  <conditionalFormatting sqref="U40:U45">
    <cfRule type="containsBlanks" dxfId="68" priority="74">
      <formula>LEN(TRIM(U40))=0</formula>
    </cfRule>
  </conditionalFormatting>
  <conditionalFormatting sqref="U63">
    <cfRule type="containsBlanks" dxfId="67" priority="289">
      <formula>LEN(TRIM(U63))=0</formula>
    </cfRule>
  </conditionalFormatting>
  <conditionalFormatting sqref="U150">
    <cfRule type="containsBlanks" dxfId="66" priority="285">
      <formula>LEN(TRIM(U150))=0</formula>
    </cfRule>
  </conditionalFormatting>
  <conditionalFormatting sqref="U166:U171">
    <cfRule type="containsBlanks" dxfId="65" priority="238">
      <formula>LEN(TRIM(U166))=0</formula>
    </cfRule>
  </conditionalFormatting>
  <conditionalFormatting sqref="U222">
    <cfRule type="containsBlanks" dxfId="64" priority="280">
      <formula>LEN(TRIM(U222))=0</formula>
    </cfRule>
  </conditionalFormatting>
  <conditionalFormatting sqref="U241">
    <cfRule type="containsBlanks" dxfId="63" priority="278">
      <formula>LEN(TRIM(U241))=0</formula>
    </cfRule>
  </conditionalFormatting>
  <conditionalFormatting sqref="U261">
    <cfRule type="containsBlanks" dxfId="62" priority="275">
      <formula>LEN(TRIM(U261))=0</formula>
    </cfRule>
  </conditionalFormatting>
  <conditionalFormatting sqref="U7:V7">
    <cfRule type="containsBlanks" dxfId="61" priority="293">
      <formula>LEN(TRIM(U7))=0</formula>
    </cfRule>
  </conditionalFormatting>
  <conditionalFormatting sqref="U80:V80">
    <cfRule type="containsBlanks" dxfId="60" priority="287">
      <formula>LEN(TRIM(U80))=0</formula>
    </cfRule>
  </conditionalFormatting>
  <conditionalFormatting sqref="U439:X439 Z439">
    <cfRule type="containsBlanks" dxfId="59" priority="256">
      <formula>LEN(TRIM(U439))=0</formula>
    </cfRule>
  </conditionalFormatting>
  <conditionalFormatting sqref="U364:Z371">
    <cfRule type="containsBlanks" dxfId="58" priority="272">
      <formula>LEN(TRIM(U364))=0</formula>
    </cfRule>
  </conditionalFormatting>
  <conditionalFormatting sqref="U433:Z438">
    <cfRule type="containsBlanks" dxfId="57" priority="254">
      <formula>LEN(TRIM(U433))=0</formula>
    </cfRule>
  </conditionalFormatting>
  <conditionalFormatting sqref="U440:Z453">
    <cfRule type="containsBlanks" dxfId="56" priority="249">
      <formula>LEN(TRIM(U440))=0</formula>
    </cfRule>
  </conditionalFormatting>
  <conditionalFormatting sqref="V4:V543">
    <cfRule type="expression" dxfId="55" priority="245">
      <formula>LEN(V4)&gt;58</formula>
    </cfRule>
  </conditionalFormatting>
  <conditionalFormatting sqref="W5:W8">
    <cfRule type="containsBlanks" dxfId="54" priority="234">
      <formula>LEN(TRIM(W5))=0</formula>
    </cfRule>
    <cfRule type="expression" dxfId="53" priority="235">
      <formula>LEN(W5)&gt;119</formula>
    </cfRule>
  </conditionalFormatting>
  <conditionalFormatting sqref="W11:W14">
    <cfRule type="containsBlanks" dxfId="52" priority="233">
      <formula>LEN(TRIM(W11))=0</formula>
    </cfRule>
  </conditionalFormatting>
  <conditionalFormatting sqref="W22:W25">
    <cfRule type="containsBlanks" dxfId="51" priority="79">
      <formula>LEN(TRIM(W22))=0</formula>
    </cfRule>
    <cfRule type="expression" dxfId="50" priority="80">
      <formula>LEN(W22)&gt;119</formula>
    </cfRule>
  </conditionalFormatting>
  <conditionalFormatting sqref="W30:W31">
    <cfRule type="containsBlanks" dxfId="49" priority="78">
      <formula>LEN(TRIM(W30))=0</formula>
    </cfRule>
  </conditionalFormatting>
  <conditionalFormatting sqref="W33:W34">
    <cfRule type="containsBlanks" dxfId="48" priority="136">
      <formula>LEN(TRIM(W33))=0</formula>
    </cfRule>
  </conditionalFormatting>
  <conditionalFormatting sqref="W42:W43">
    <cfRule type="containsBlanks" dxfId="47" priority="69">
      <formula>LEN(TRIM(W42))=0</formula>
    </cfRule>
    <cfRule type="expression" dxfId="46" priority="70">
      <formula>LEN(W42)&gt;119</formula>
    </cfRule>
  </conditionalFormatting>
  <conditionalFormatting sqref="W48:W49">
    <cfRule type="containsBlanks" dxfId="45" priority="68">
      <formula>LEN(TRIM(W48))=0</formula>
    </cfRule>
  </conditionalFormatting>
  <conditionalFormatting sqref="W51:W52">
    <cfRule type="containsBlanks" dxfId="44" priority="140">
      <formula>LEN(TRIM(W51))=0</formula>
    </cfRule>
  </conditionalFormatting>
  <conditionalFormatting sqref="W441:W442">
    <cfRule type="containsBlanks" dxfId="43" priority="252">
      <formula>LEN(TRIM(W441))=0</formula>
    </cfRule>
  </conditionalFormatting>
  <conditionalFormatting sqref="W4:Z21 W24:X27 W40:X46 W28:Y32 W33:Z39 W47:Y50">
    <cfRule type="containsBlanks" dxfId="42" priority="246">
      <formula>LEN(TRIM(W4))=0</formula>
    </cfRule>
  </conditionalFormatting>
  <conditionalFormatting sqref="W4:Z21 X22:X34 W24:X27 W28:Y32 W33:Z543 Z22:Z32 Y22:Y27">
    <cfRule type="expression" dxfId="41" priority="247">
      <formula>LEN(W4)&gt;119</formula>
    </cfRule>
  </conditionalFormatting>
  <conditionalFormatting sqref="H4:AG543">
    <cfRule type="containsBlanks" dxfId="40" priority="273">
      <formula>LEN(TRIM(H4))=0</formula>
    </cfRule>
  </conditionalFormatting>
  <conditionalFormatting sqref="X22:X34">
    <cfRule type="containsBlanks" dxfId="39" priority="77">
      <formula>LEN(TRIM(X22))=0</formula>
    </cfRule>
  </conditionalFormatting>
  <conditionalFormatting sqref="X311:Y313 X314:Z363 U310:U315">
    <cfRule type="containsBlanks" dxfId="38" priority="274">
      <formula>LEN(TRIM(U310))=0</formula>
    </cfRule>
  </conditionalFormatting>
  <conditionalFormatting sqref="Y7:Y8">
    <cfRule type="containsBlanks" dxfId="37" priority="27">
      <formula>LEN(TRIM(Y7))=0</formula>
    </cfRule>
  </conditionalFormatting>
  <conditionalFormatting sqref="Y10">
    <cfRule type="containsBlanks" dxfId="36" priority="51">
      <formula>LEN(TRIM(Y10))=0</formula>
    </cfRule>
  </conditionalFormatting>
  <conditionalFormatting sqref="Y22:Y30">
    <cfRule type="containsBlanks" dxfId="35" priority="34">
      <formula>LEN(TRIM(Y22))=0</formula>
    </cfRule>
  </conditionalFormatting>
  <conditionalFormatting sqref="Y40:Y48">
    <cfRule type="containsBlanks" dxfId="34" priority="29">
      <formula>LEN(TRIM(Y40))=0</formula>
    </cfRule>
  </conditionalFormatting>
  <conditionalFormatting sqref="Y58:Y59">
    <cfRule type="containsBlanks" dxfId="33" priority="243">
      <formula>LEN(TRIM(Y58))=0</formula>
    </cfRule>
  </conditionalFormatting>
  <conditionalFormatting sqref="Y61">
    <cfRule type="containsBlanks" dxfId="32" priority="87">
      <formula>LEN(TRIM(Y61))=0</formula>
    </cfRule>
  </conditionalFormatting>
  <conditionalFormatting sqref="Y439:Y444">
    <cfRule type="containsBlanks" dxfId="31" priority="248">
      <formula>LEN(TRIM(Y439))=0</formula>
    </cfRule>
  </conditionalFormatting>
  <conditionalFormatting sqref="Y4:Z12">
    <cfRule type="containsBlanks" dxfId="30" priority="265">
      <formula>LEN(TRIM(Y4))=0</formula>
    </cfRule>
  </conditionalFormatting>
  <conditionalFormatting sqref="Z4">
    <cfRule type="containsBlanks" dxfId="29" priority="42">
      <formula>LEN(TRIM(Z4))=0</formula>
    </cfRule>
  </conditionalFormatting>
  <conditionalFormatting sqref="Z22:Z32">
    <cfRule type="containsBlanks" dxfId="28" priority="146">
      <formula>LEN(TRIM(Z22))=0</formula>
    </cfRule>
  </conditionalFormatting>
  <conditionalFormatting sqref="Z25:Z32">
    <cfRule type="containsBlanks" dxfId="27" priority="264">
      <formula>LEN(TRIM(Z25))=0</formula>
    </cfRule>
  </conditionalFormatting>
  <conditionalFormatting sqref="Z40:Z50">
    <cfRule type="containsBlanks" dxfId="26" priority="40">
      <formula>LEN(TRIM(Z40))=0</formula>
    </cfRule>
  </conditionalFormatting>
  <conditionalFormatting sqref="Z311:Z316">
    <cfRule type="containsBlanks" dxfId="25" priority="260">
      <formula>LEN(TRIM(Z311))=0</formula>
    </cfRule>
  </conditionalFormatting>
  <conditionalFormatting sqref="H58:I58">
    <cfRule type="containsBlanks" dxfId="24" priority="25">
      <formula>LEN(TRIM(H58))=0</formula>
    </cfRule>
  </conditionalFormatting>
  <conditionalFormatting sqref="H76:I76">
    <cfRule type="containsBlanks" dxfId="23" priority="24">
      <formula>LEN(TRIM(H76))=0</formula>
    </cfRule>
  </conditionalFormatting>
  <conditionalFormatting sqref="H94:I94">
    <cfRule type="containsBlanks" dxfId="22" priority="23">
      <formula>LEN(TRIM(H94))=0</formula>
    </cfRule>
  </conditionalFormatting>
  <conditionalFormatting sqref="H112:I112">
    <cfRule type="containsBlanks" dxfId="21" priority="22">
      <formula>LEN(TRIM(H112))=0</formula>
    </cfRule>
  </conditionalFormatting>
  <conditionalFormatting sqref="H130:I130">
    <cfRule type="containsBlanks" dxfId="20" priority="21">
      <formula>LEN(TRIM(H130))=0</formula>
    </cfRule>
  </conditionalFormatting>
  <conditionalFormatting sqref="H148:I148">
    <cfRule type="containsBlanks" dxfId="19" priority="20">
      <formula>LEN(TRIM(H148))=0</formula>
    </cfRule>
  </conditionalFormatting>
  <conditionalFormatting sqref="H166:I166">
    <cfRule type="containsBlanks" dxfId="18" priority="19">
      <formula>LEN(TRIM(H166))=0</formula>
    </cfRule>
  </conditionalFormatting>
  <conditionalFormatting sqref="H184:I184">
    <cfRule type="containsBlanks" dxfId="17" priority="18">
      <formula>LEN(TRIM(H184))=0</formula>
    </cfRule>
  </conditionalFormatting>
  <conditionalFormatting sqref="H202:I202">
    <cfRule type="containsBlanks" dxfId="16" priority="17">
      <formula>LEN(TRIM(H202))=0</formula>
    </cfRule>
  </conditionalFormatting>
  <conditionalFormatting sqref="H220:I220">
    <cfRule type="containsBlanks" dxfId="15" priority="16">
      <formula>LEN(TRIM(H220))=0</formula>
    </cfRule>
  </conditionalFormatting>
  <conditionalFormatting sqref="H238:I238">
    <cfRule type="containsBlanks" dxfId="14" priority="15">
      <formula>LEN(TRIM(H238))=0</formula>
    </cfRule>
  </conditionalFormatting>
  <conditionalFormatting sqref="H256:I256">
    <cfRule type="containsBlanks" dxfId="13" priority="14">
      <formula>LEN(TRIM(H256))=0</formula>
    </cfRule>
  </conditionalFormatting>
  <conditionalFormatting sqref="H274:I274">
    <cfRule type="containsBlanks" dxfId="12" priority="13">
      <formula>LEN(TRIM(H274))=0</formula>
    </cfRule>
  </conditionalFormatting>
  <conditionalFormatting sqref="H292:I292">
    <cfRule type="containsBlanks" dxfId="11" priority="12">
      <formula>LEN(TRIM(H292))=0</formula>
    </cfRule>
  </conditionalFormatting>
  <conditionalFormatting sqref="H310:I310">
    <cfRule type="containsBlanks" dxfId="10" priority="11">
      <formula>LEN(TRIM(H310))=0</formula>
    </cfRule>
  </conditionalFormatting>
  <conditionalFormatting sqref="H328:I328">
    <cfRule type="containsBlanks" dxfId="9" priority="10">
      <formula>LEN(TRIM(H328))=0</formula>
    </cfRule>
  </conditionalFormatting>
  <conditionalFormatting sqref="H346:I346">
    <cfRule type="containsBlanks" dxfId="8" priority="9">
      <formula>LEN(TRIM(H346))=0</formula>
    </cfRule>
  </conditionalFormatting>
  <conditionalFormatting sqref="H364:I364">
    <cfRule type="containsBlanks" dxfId="7" priority="8">
      <formula>LEN(TRIM(H364))=0</formula>
    </cfRule>
  </conditionalFormatting>
  <conditionalFormatting sqref="H382:I382">
    <cfRule type="containsBlanks" dxfId="6" priority="7">
      <formula>LEN(TRIM(H382))=0</formula>
    </cfRule>
  </conditionalFormatting>
  <conditionalFormatting sqref="H400:I400">
    <cfRule type="containsBlanks" dxfId="5" priority="6">
      <formula>LEN(TRIM(H400))=0</formula>
    </cfRule>
  </conditionalFormatting>
  <conditionalFormatting sqref="L4:M4">
    <cfRule type="containsBlanks" dxfId="4" priority="5">
      <formula>LEN(TRIM(L4))=0</formula>
    </cfRule>
  </conditionalFormatting>
  <conditionalFormatting sqref="L22:M22">
    <cfRule type="containsBlanks" dxfId="3" priority="4">
      <formula>LEN(TRIM(L22))=0</formula>
    </cfRule>
  </conditionalFormatting>
  <conditionalFormatting sqref="L40:M40">
    <cfRule type="containsBlanks" dxfId="2" priority="3">
      <formula>LEN(TRIM(L40))=0</formula>
    </cfRule>
  </conditionalFormatting>
  <conditionalFormatting sqref="L58:M58">
    <cfRule type="containsBlanks" dxfId="1" priority="2">
      <formula>LEN(TRIM(L58))=0</formula>
    </cfRule>
  </conditionalFormatting>
  <conditionalFormatting sqref="L76:M76">
    <cfRule type="containsBlanks" dxfId="0" priority="1">
      <formula>LEN(TRIM(L76))=0</formula>
    </cfRule>
  </conditionalFormatting>
  <dataValidations count="1">
    <dataValidation type="date" operator="greaterThanOrEqual" allowBlank="1" showInputMessage="1" showErrorMessage="1" sqref="AE400:AE407 AE76:AE81 AE94:AE106 AE202:AE208 AE4:AE16 AE58:AE70 AE112:AE121 AE166:AE172 AE130:AE139 AE148:AE154 AE238:AE243 AE184:AE193 AE256:AE265 AE40:AE51 AE220:AE226 AE418:AE425 AE22:AE34 AE274:AE280 AE292:AE298 AE310:AE315 AE328:AE333 AE346:AE351 AE364:AE369 AE382:AE387" xr:uid="{79202543-1096-48ED-A58F-F10640BCF0E9}">
      <formula1>45362</formula1>
    </dataValidation>
  </dataValidations>
  <pageMargins left="0.7" right="0.7" top="0.75" bottom="0.75" header="0.3" footer="0.3"/>
  <pageSetup paperSize="9" orientation="portrait" r:id="rId1"/>
  <ignoredErrors>
    <ignoredError sqref="AH10" unlocked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xr:uid="{8E0F97C9-1A99-43DE-AB7E-F2D1A4F7CF5D}">
          <x14:formula1>
            <xm:f>'Risk Matrix'!$F$7:$F$12</xm:f>
          </x14:formula1>
          <xm:sqref>Q4:Q543</xm:sqref>
        </x14:dataValidation>
        <x14:dataValidation type="list" allowBlank="1" showInputMessage="1" showErrorMessage="1" xr:uid="{7332DB6F-9BD5-43D2-9E8B-C516F26D90E2}">
          <x14:formula1>
            <xm:f>Ref!$K$2:$K$27</xm:f>
          </x14:formula1>
          <xm:sqref>N4:N543</xm:sqref>
        </x14:dataValidation>
        <x14:dataValidation type="list" allowBlank="1" showInputMessage="1" showErrorMessage="1" xr:uid="{5B8A9540-C134-48E8-A0F7-19DE147DA6F7}">
          <x14:formula1>
            <xm:f>'Risk Matrix'!$H$6:$M$6</xm:f>
          </x14:formula1>
          <xm:sqref>R4:R543</xm:sqref>
        </x14:dataValidation>
        <x14:dataValidation type="list" allowBlank="1" showInputMessage="1" showErrorMessage="1" xr:uid="{F9E62BF6-3BC3-4970-A32B-C2D587A13513}">
          <x14:formula1>
            <xm:f>Ref!$AA$2:$AA$8</xm:f>
          </x14:formula1>
          <xm:sqref>H4 H526 H22 H40 H58 H76 H94 H112 H130 H148 H166 H184 H202 H220 H238 H256 H274 H292 H310 H328 H346 H364 H382 H418 H436 H454 H472 H490 H508 H400</xm:sqref>
        </x14:dataValidation>
        <x14:dataValidation type="list" allowBlank="1" showInputMessage="1" showErrorMessage="1" xr:uid="{57FACC49-2EBC-4769-AFE9-BB3947C2310F}">
          <x14:formula1>
            <xm:f>'Training Matrix'!$B$4:$B$24</xm:f>
          </x14:formula1>
          <xm:sqref>AC4:AC543</xm:sqref>
        </x14:dataValidation>
        <x14:dataValidation type="list" allowBlank="1" showInputMessage="1" showErrorMessage="1" xr:uid="{40F2B7D2-5A2D-482D-ABBB-2C1BEB8A386A}">
          <x14:formula1>
            <xm:f>Ref!$W$2:$W$9</xm:f>
          </x14:formula1>
          <xm:sqref>I4 I22 I40 I58 I76 I94 I112 I130 I148 I166 I184 I202 I220 I238 I256 I274 I292 I310 I328 I346 I364 I382 I400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AD4D-BCAE-489F-A17F-8ACB2320A3CC}">
  <sheetPr filterMode="1">
    <pageSetUpPr fitToPage="1"/>
  </sheetPr>
  <dimension ref="A1:J663"/>
  <sheetViews>
    <sheetView showZeros="0" zoomScale="115" zoomScaleNormal="115" workbookViewId="0">
      <selection activeCell="G6" sqref="G6:H6"/>
    </sheetView>
  </sheetViews>
  <sheetFormatPr defaultRowHeight="15" x14ac:dyDescent="0.25"/>
  <cols>
    <col min="1" max="1" width="3.7109375" customWidth="1"/>
    <col min="2" max="2" width="14.5703125" customWidth="1"/>
    <col min="3" max="7" width="17.5703125" customWidth="1"/>
    <col min="8" max="8" width="16.42578125" customWidth="1"/>
    <col min="9" max="9" width="10.85546875" customWidth="1"/>
    <col min="10" max="10" width="4.42578125" customWidth="1"/>
    <col min="11" max="16" width="40.7109375" customWidth="1"/>
  </cols>
  <sheetData>
    <row r="1" spans="1:10" ht="19.5" customHeight="1" thickBot="1" x14ac:dyDescent="0.3">
      <c r="B1" s="119" t="str">
        <f>IFERROR(INDEX(Ref!$S$2:$S$30,MATCH('SOP template'!$E$1,Ref!$T$2:$T$30,0)),"Check selection")</f>
        <v>ALP.BSP.SOP.001</v>
      </c>
      <c r="D1" s="171" t="s">
        <v>97</v>
      </c>
      <c r="E1" s="253" t="s">
        <v>405</v>
      </c>
      <c r="F1" s="254"/>
      <c r="G1" s="255"/>
      <c r="H1" s="200" t="s">
        <v>98</v>
      </c>
      <c r="I1" s="213" t="s">
        <v>99</v>
      </c>
      <c r="J1" t="s">
        <v>100</v>
      </c>
    </row>
    <row r="2" spans="1:10" ht="15.75" customHeight="1" thickBot="1" x14ac:dyDescent="0.3">
      <c r="I2" s="214"/>
    </row>
    <row r="3" spans="1:10" ht="23.45" customHeight="1" thickBot="1" x14ac:dyDescent="0.3">
      <c r="B3" s="2" t="s">
        <v>101</v>
      </c>
      <c r="J3" s="170" t="s">
        <v>102</v>
      </c>
    </row>
    <row r="4" spans="1:10" x14ac:dyDescent="0.25">
      <c r="B4" s="263" t="s">
        <v>63</v>
      </c>
      <c r="C4" s="263"/>
      <c r="D4" s="264" t="s">
        <v>64</v>
      </c>
      <c r="E4" s="265"/>
      <c r="F4" s="266"/>
      <c r="G4" s="257" t="s">
        <v>65</v>
      </c>
      <c r="H4" s="258"/>
    </row>
    <row r="5" spans="1:10" x14ac:dyDescent="0.25">
      <c r="B5" s="263"/>
      <c r="C5" s="263"/>
      <c r="D5" s="28" t="s">
        <v>73</v>
      </c>
      <c r="E5" s="28" t="s">
        <v>74</v>
      </c>
      <c r="F5" s="28" t="s">
        <v>75</v>
      </c>
      <c r="G5" s="259"/>
      <c r="H5" s="260"/>
      <c r="J5" s="170" t="s">
        <v>103</v>
      </c>
    </row>
    <row r="6" spans="1:10" s="86" customFormat="1" ht="39" customHeight="1" x14ac:dyDescent="0.25">
      <c r="A6" s="117">
        <v>1</v>
      </c>
      <c r="B6" s="256" t="str">
        <f>IFERROR(INDEX('SOP register'!P:P,MATCH(CONCATENATE('SOP template'!$B$1,".",TEXT('SOP template'!$A6,"00")),'SOP register'!$F:$F,0)),"Reselect SOP name")</f>
        <v xml:space="preserve">Infection caused by exposure to biological material resulting in illness </v>
      </c>
      <c r="C6" s="256"/>
      <c r="D6" s="29" t="str">
        <f>IFERROR(INDEX('SOP register'!Q:Q,MATCH(CONCATENATE('SOP template'!$B$1,".",TEXT('SOP template'!$A6,"00")),'SOP register'!$F:$F,0)),"")</f>
        <v>Major</v>
      </c>
      <c r="E6" s="29" t="str">
        <f>IFERROR(INDEX('SOP register'!R:R,MATCH(CONCATENATE('SOP template'!$B$1,".",TEXT('SOP template'!$A6,"00")),'SOP register'!$F:$F,0)),"")</f>
        <v>Rare</v>
      </c>
      <c r="F6" s="13" t="str">
        <f>IFERROR(CLEAN(INDEX('Risk Matrix'!$F$6:$L$11,MATCH($D6,'Risk Matrix'!$F$6:$F$11,0),MATCH($E6,'Risk Matrix'!$F$6:$L$6,0))),"")</f>
        <v>Medium 2</v>
      </c>
      <c r="G6" s="261" t="str">
        <f>IFERROR(INDEX('SOP register'!U:U,MATCH(CONCATENATE('SOP template'!$B$1,".",TEXT('SOP template'!$A6,"00")),'SOP register'!$F:$F,0)),"")</f>
        <v>Either vaccination or immunity to biological risks present or wearing of a P2 mask
Wear laboratory coat to prevent clothing contamination
Wear safety glasses to prevent eye contamination</v>
      </c>
      <c r="H6" s="262"/>
      <c r="I6" t="str">
        <f>IF(OR(ISTEXT(B6),B6=""),"",1)</f>
        <v/>
      </c>
    </row>
    <row r="7" spans="1:10" s="86" customFormat="1" ht="39" customHeight="1" x14ac:dyDescent="0.25">
      <c r="A7" s="117">
        <v>2</v>
      </c>
      <c r="B7" s="256" t="str">
        <f>IFERROR(INDEX('SOP register'!P:P,MATCH(CONCATENATE('SOP template'!$B$1,".",TEXT('SOP template'!$A7,"00")),'SOP register'!$F:$F,0)),0)</f>
        <v>Chemical exposure caused by chemical splash or spill resulting in skin irritation</v>
      </c>
      <c r="C7" s="256"/>
      <c r="D7" s="29" t="str">
        <f>IFERROR(INDEX('SOP register'!Q:Q,MATCH(CONCATENATE('SOP template'!$B$1,".",TEXT('SOP template'!$A7,"00")),'SOP register'!$F:$F,0)),"")</f>
        <v>Minor</v>
      </c>
      <c r="E7" s="29" t="str">
        <f>IFERROR(INDEX('SOP register'!R:R,MATCH(CONCATENATE('SOP template'!$B$1,".",TEXT('SOP template'!$A7,"00")),'SOP register'!$F:$F,0)),"")</f>
        <v>Unlikely</v>
      </c>
      <c r="F7" s="13" t="str">
        <f>IFERROR(CLEAN(INDEX('Risk Matrix'!$F$6:$L$11,MATCH($D7,'Risk Matrix'!$F$6:$F$11,0),MATCH($E7,'Risk Matrix'!$F$6:$L$6,0))),"")</f>
        <v>Low 1</v>
      </c>
      <c r="G7" s="261" t="str">
        <f>IFERROR(INDEX('SOP register'!U:U,MATCH(CONCATENATE('SOP template'!$B$1,".",TEXT('SOP template'!$A7,"00")),'SOP register'!$F:$F,0)),"")</f>
        <v>Follow procedures for use of chemical and wear required gloves. Glasses and laboratory coat</v>
      </c>
      <c r="H7" s="262"/>
      <c r="I7" t="str">
        <f>IF(OR(ISTEXT(B7),ISBLANK(B7)),"",1)</f>
        <v/>
      </c>
    </row>
    <row r="8" spans="1:10" s="86" customFormat="1" ht="39" customHeight="1" x14ac:dyDescent="0.25">
      <c r="A8" s="117">
        <v>3</v>
      </c>
      <c r="B8" s="256" t="str">
        <f>IFERROR(INDEX('SOP register'!P:P,MATCH(CONCATENATE('SOP template'!$B$1,".",TEXT('SOP template'!$A8,"00")),'SOP register'!$F:$F,0)),0)</f>
        <v>Sharps caused by scalpel or needle use resulting in laceration or needlestick injury</v>
      </c>
      <c r="C8" s="256"/>
      <c r="D8" s="29" t="str">
        <f>IFERROR(INDEX('SOP register'!Q:Q,MATCH(CONCATENATE('SOP template'!$B$1,".",TEXT('SOP template'!$A8,"00")),'SOP register'!$F:$F,0)),"")</f>
        <v>Minor</v>
      </c>
      <c r="E8" s="29" t="str">
        <f>IFERROR(INDEX('SOP register'!R:R,MATCH(CONCATENATE('SOP template'!$B$1,".",TEXT('SOP template'!$A8,"00")),'SOP register'!$F:$F,0)),"")</f>
        <v>Rare</v>
      </c>
      <c r="F8" s="13" t="str">
        <f>IFERROR(CLEAN(INDEX('Risk Matrix'!$F$6:$L$11,MATCH($D8,'Risk Matrix'!$F$6:$F$11,0),MATCH($E8,'Risk Matrix'!$F$6:$L$6,0))),"")</f>
        <v>Low 1</v>
      </c>
      <c r="G8" s="261" t="str">
        <f>IFERROR(INDEX('SOP register'!U:U,MATCH(CONCATENATE('SOP template'!$B$1,".",TEXT('SOP template'!$A8,"00")),'SOP register'!$F:$F,0)),"")</f>
        <v>Only authorised and trained personnel are permitted to handle cutting tools or needles</v>
      </c>
      <c r="H8" s="262"/>
      <c r="I8" t="str">
        <f t="shared" ref="I8:I23" si="0">IF(OR(ISTEXT(B8),B8=""),"",1)</f>
        <v/>
      </c>
    </row>
    <row r="9" spans="1:10" s="86" customFormat="1" ht="39" customHeight="1" x14ac:dyDescent="0.25">
      <c r="A9" s="117">
        <v>4</v>
      </c>
      <c r="B9" s="256" t="str">
        <f>IFERROR(INDEX('SOP register'!P:P,MATCH(CONCATENATE('SOP template'!$B$1,".",TEXT('SOP template'!$A9,"00")),'SOP register'!$F:$F,0)),0)</f>
        <v>Items flick into worker's eyes</v>
      </c>
      <c r="C9" s="256"/>
      <c r="D9" s="29" t="str">
        <f>IFERROR(INDEX('SOP register'!Q:Q,MATCH(CONCATENATE('SOP template'!$B$1,".",TEXT('SOP template'!$A9,"00")),'SOP register'!$F:$F,0)),"")</f>
        <v>Minor</v>
      </c>
      <c r="E9" s="29" t="str">
        <f>IFERROR(INDEX('SOP register'!R:R,MATCH(CONCATENATE('SOP template'!$B$1,".",TEXT('SOP template'!$A9,"00")),'SOP register'!$F:$F,0)),"")</f>
        <v>Rare</v>
      </c>
      <c r="F9" s="13" t="str">
        <f>IFERROR(CLEAN(INDEX('Risk Matrix'!$F$6:$L$11,MATCH($D9,'Risk Matrix'!$F$6:$F$11,0),MATCH($E9,'Risk Matrix'!$F$6:$L$6,0))),"")</f>
        <v>Low 1</v>
      </c>
      <c r="G9" s="261" t="str">
        <f>IFERROR(INDEX('SOP register'!U:U,MATCH(CONCATENATE('SOP template'!$B$1,".",TEXT('SOP template'!$A9,"00")),'SOP register'!$F:$F,0)),"")</f>
        <v>Wear safety glasses or face shield</v>
      </c>
      <c r="H9" s="262"/>
      <c r="I9" t="str">
        <f t="shared" si="0"/>
        <v/>
      </c>
    </row>
    <row r="10" spans="1:10" s="86" customFormat="1" ht="39" hidden="1" customHeight="1" x14ac:dyDescent="0.25">
      <c r="A10" s="117">
        <v>5</v>
      </c>
      <c r="B10" s="256">
        <f>IFERROR(INDEX('SOP register'!P:P,MATCH(CONCATENATE('SOP template'!$B$1,".",TEXT('SOP template'!$A10,"00")),'SOP register'!$F:$F,0)),0)</f>
        <v>0</v>
      </c>
      <c r="C10" s="256"/>
      <c r="D10" s="29">
        <f>IFERROR(INDEX('SOP register'!Q:Q,MATCH(CONCATENATE('SOP template'!$B$1,".",TEXT('SOP template'!$A10,"00")),'SOP register'!$F:$F,0)),"")</f>
        <v>0</v>
      </c>
      <c r="E10" s="29">
        <f>IFERROR(INDEX('SOP register'!R:R,MATCH(CONCATENATE('SOP template'!$B$1,".",TEXT('SOP template'!$A10,"00")),'SOP register'!$F:$F,0)),"")</f>
        <v>0</v>
      </c>
      <c r="F10" s="13" t="str">
        <f>IFERROR(CLEAN(INDEX('Risk Matrix'!$F$6:$L$11,MATCH($D10,'Risk Matrix'!$F$6:$F$11,0),MATCH($E10,'Risk Matrix'!$F$6:$L$6,0))),"")</f>
        <v/>
      </c>
      <c r="G10" s="261">
        <f>IFERROR(INDEX('SOP register'!U:U,MATCH(CONCATENATE('SOP template'!$B$1,".",TEXT('SOP template'!$A10,"00")),'SOP register'!$F:$F,0)),"")</f>
        <v>0</v>
      </c>
      <c r="H10" s="262"/>
      <c r="I10">
        <f t="shared" si="0"/>
        <v>1</v>
      </c>
    </row>
    <row r="11" spans="1:10" s="86" customFormat="1" ht="39" hidden="1" customHeight="1" x14ac:dyDescent="0.25">
      <c r="A11" s="117">
        <v>6</v>
      </c>
      <c r="B11" s="256">
        <f>IFERROR(INDEX('SOP register'!P:P,MATCH(CONCATENATE('SOP template'!$B$1,".",TEXT('SOP template'!$A11,"00")),'SOP register'!$F:$F,0)),0)</f>
        <v>0</v>
      </c>
      <c r="C11" s="256"/>
      <c r="D11" s="29">
        <f>IFERROR(INDEX('SOP register'!Q:Q,MATCH(CONCATENATE('SOP template'!$B$1,".",TEXT('SOP template'!$A11,"00")),'SOP register'!$F:$F,0)),"")</f>
        <v>0</v>
      </c>
      <c r="E11" s="29">
        <f>IFERROR(INDEX('SOP register'!R:R,MATCH(CONCATENATE('SOP template'!$B$1,".",TEXT('SOP template'!$A11,"00")),'SOP register'!$F:$F,0)),"")</f>
        <v>0</v>
      </c>
      <c r="F11" s="13" t="str">
        <f>IFERROR(CLEAN(INDEX('Risk Matrix'!$F$6:$L$11,MATCH($D11,'Risk Matrix'!$F$6:$F$11,0),MATCH($E11,'Risk Matrix'!$F$6:$L$6,0))),"")</f>
        <v/>
      </c>
      <c r="G11" s="261">
        <f>IFERROR(INDEX('SOP register'!U:U,MATCH(CONCATENATE('SOP template'!$B$1,".",TEXT('SOP template'!$A11,"00")),'SOP register'!$F:$F,0)),"")</f>
        <v>0</v>
      </c>
      <c r="H11" s="262"/>
      <c r="I11">
        <f t="shared" si="0"/>
        <v>1</v>
      </c>
    </row>
    <row r="12" spans="1:10" s="86" customFormat="1" ht="39" hidden="1" customHeight="1" x14ac:dyDescent="0.25">
      <c r="A12" s="117">
        <v>7</v>
      </c>
      <c r="B12" s="256">
        <f>IFERROR(INDEX('SOP register'!P:P,MATCH(CONCATENATE('SOP template'!$B$1,".",TEXT('SOP template'!$A12,"00")),'SOP register'!$F:$F,0)),0)</f>
        <v>0</v>
      </c>
      <c r="C12" s="256"/>
      <c r="D12" s="29">
        <f>IFERROR(INDEX('SOP register'!Q:Q,MATCH(CONCATENATE('SOP template'!$B$1,".",TEXT('SOP template'!$A12,"00")),'SOP register'!$F:$F,0)),"")</f>
        <v>0</v>
      </c>
      <c r="E12" s="29">
        <f>IFERROR(INDEX('SOP register'!R:R,MATCH(CONCATENATE('SOP template'!$B$1,".",TEXT('SOP template'!$A12,"00")),'SOP register'!$F:$F,0)),"")</f>
        <v>0</v>
      </c>
      <c r="F12" s="13" t="str">
        <f>IFERROR(CLEAN(INDEX('Risk Matrix'!$F$6:$L$11,MATCH($D12,'Risk Matrix'!$F$6:$F$11,0),MATCH($E12,'Risk Matrix'!$F$6:$L$6,0))),"")</f>
        <v/>
      </c>
      <c r="G12" s="261">
        <f>IFERROR(INDEX('SOP register'!U:U,MATCH(CONCATENATE('SOP template'!$B$1,".",TEXT('SOP template'!$A12,"00")),'SOP register'!$F:$F,0)),"")</f>
        <v>0</v>
      </c>
      <c r="H12" s="262"/>
      <c r="I12">
        <f t="shared" si="0"/>
        <v>1</v>
      </c>
    </row>
    <row r="13" spans="1:10" s="86" customFormat="1" ht="39" hidden="1" customHeight="1" x14ac:dyDescent="0.25">
      <c r="A13" s="117">
        <v>8</v>
      </c>
      <c r="B13" s="256">
        <f>IFERROR(INDEX('SOP register'!P:P,MATCH(CONCATENATE('SOP template'!$B$1,".",TEXT('SOP template'!$A13,"00")),'SOP register'!$F:$F,0)),0)</f>
        <v>0</v>
      </c>
      <c r="C13" s="256"/>
      <c r="D13" s="29">
        <f>IFERROR(INDEX('SOP register'!Q:Q,MATCH(CONCATENATE('SOP template'!$B$1,".",TEXT('SOP template'!$A13,"00")),'SOP register'!$F:$F,0)),"")</f>
        <v>0</v>
      </c>
      <c r="E13" s="29">
        <f>IFERROR(INDEX('SOP register'!R:R,MATCH(CONCATENATE('SOP template'!$B$1,".",TEXT('SOP template'!$A13,"00")),'SOP register'!$F:$F,0)),"")</f>
        <v>0</v>
      </c>
      <c r="F13" s="13" t="str">
        <f>IFERROR(CLEAN(INDEX('Risk Matrix'!$F$6:$L$11,MATCH($D13,'Risk Matrix'!$F$6:$F$11,0),MATCH($E13,'Risk Matrix'!$F$6:$L$6,0))),"")</f>
        <v/>
      </c>
      <c r="G13" s="261">
        <f>IFERROR(INDEX('SOP register'!U:U,MATCH(CONCATENATE('SOP template'!$B$1,".",TEXT('SOP template'!$A13,"00")),'SOP register'!$F:$F,0)),"")</f>
        <v>0</v>
      </c>
      <c r="H13" s="262"/>
      <c r="I13">
        <f t="shared" si="0"/>
        <v>1</v>
      </c>
    </row>
    <row r="14" spans="1:10" s="86" customFormat="1" ht="39" hidden="1" customHeight="1" x14ac:dyDescent="0.25">
      <c r="A14" s="117">
        <v>9</v>
      </c>
      <c r="B14" s="256">
        <f>IFERROR(INDEX('SOP register'!P:P,MATCH(CONCATENATE('SOP template'!$B$1,".",TEXT('SOP template'!$A14,"00")),'SOP register'!$F:$F,0)),0)</f>
        <v>0</v>
      </c>
      <c r="C14" s="256"/>
      <c r="D14" s="29">
        <f>IFERROR(INDEX('SOP register'!Q:Q,MATCH(CONCATENATE('SOP template'!$B$1,".",TEXT('SOP template'!$A14,"00")),'SOP register'!$F:$F,0)),"")</f>
        <v>0</v>
      </c>
      <c r="E14" s="29">
        <f>IFERROR(INDEX('SOP register'!R:R,MATCH(CONCATENATE('SOP template'!$B$1,".",TEXT('SOP template'!$A14,"00")),'SOP register'!$F:$F,0)),"")</f>
        <v>0</v>
      </c>
      <c r="F14" s="13" t="str">
        <f>IFERROR(CLEAN(INDEX('Risk Matrix'!$F$6:$L$11,MATCH($D14,'Risk Matrix'!$F$6:$F$11,0),MATCH($E14,'Risk Matrix'!$F$6:$L$6,0))),"")</f>
        <v/>
      </c>
      <c r="G14" s="261">
        <f>IFERROR(INDEX('SOP register'!U:U,MATCH(CONCATENATE('SOP template'!$B$1,".",TEXT('SOP template'!$A14,"00")),'SOP register'!$F:$F,0)),"")</f>
        <v>0</v>
      </c>
      <c r="H14" s="262"/>
      <c r="I14">
        <f t="shared" si="0"/>
        <v>1</v>
      </c>
    </row>
    <row r="15" spans="1:10" s="86" customFormat="1" ht="39" hidden="1" customHeight="1" x14ac:dyDescent="0.25">
      <c r="A15" s="117">
        <v>10</v>
      </c>
      <c r="B15" s="256">
        <f>IFERROR(INDEX('SOP register'!P:P,MATCH(CONCATENATE('SOP template'!$B$1,".",TEXT('SOP template'!$A15,"00")),'SOP register'!$F:$F,0)),0)</f>
        <v>0</v>
      </c>
      <c r="C15" s="256"/>
      <c r="D15" s="29">
        <f>IFERROR(INDEX('SOP register'!Q:Q,MATCH(CONCATENATE('SOP template'!$B$1,".",TEXT('SOP template'!$A15,"00")),'SOP register'!$F:$F,0)),"")</f>
        <v>0</v>
      </c>
      <c r="E15" s="29">
        <f>IFERROR(INDEX('SOP register'!R:R,MATCH(CONCATENATE('SOP template'!$B$1,".",TEXT('SOP template'!$A15,"00")),'SOP register'!$F:$F,0)),"")</f>
        <v>0</v>
      </c>
      <c r="F15" s="13" t="str">
        <f>IFERROR(CLEAN(INDEX('Risk Matrix'!$F$6:$L$11,MATCH($D15,'Risk Matrix'!$F$6:$F$11,0),MATCH($E15,'Risk Matrix'!$F$6:$L$6,0))),"")</f>
        <v/>
      </c>
      <c r="G15" s="261">
        <f>IFERROR(INDEX('SOP register'!U:U,MATCH(CONCATENATE('SOP template'!$B$1,".",TEXT('SOP template'!$A15,"00")),'SOP register'!$F:$F,0)),"")</f>
        <v>0</v>
      </c>
      <c r="H15" s="262"/>
      <c r="I15">
        <f t="shared" si="0"/>
        <v>1</v>
      </c>
    </row>
    <row r="16" spans="1:10" s="86" customFormat="1" ht="39" hidden="1" customHeight="1" x14ac:dyDescent="0.25">
      <c r="A16" s="117">
        <v>11</v>
      </c>
      <c r="B16" s="256">
        <f>IFERROR(INDEX('SOP register'!P:P,MATCH(CONCATENATE('SOP template'!$B$1,".",TEXT('SOP template'!$A16,"00")),'SOP register'!$F:$F,0)),0)</f>
        <v>0</v>
      </c>
      <c r="C16" s="256"/>
      <c r="D16" s="29">
        <f>IFERROR(INDEX('SOP register'!Q:Q,MATCH(CONCATENATE('SOP template'!$B$1,".",TEXT('SOP template'!$A16,"00")),'SOP register'!$F:$F,0)),"")</f>
        <v>0</v>
      </c>
      <c r="E16" s="29">
        <f>IFERROR(INDEX('SOP register'!R:R,MATCH(CONCATENATE('SOP template'!$B$1,".",TEXT('SOP template'!$A16,"00")),'SOP register'!$F:$F,0)),"")</f>
        <v>0</v>
      </c>
      <c r="F16" s="13" t="str">
        <f>IFERROR(CLEAN(INDEX('Risk Matrix'!$F$6:$L$11,MATCH($D16,'Risk Matrix'!$F$6:$F$11,0),MATCH($E16,'Risk Matrix'!$F$6:$L$6,0))),"")</f>
        <v/>
      </c>
      <c r="G16" s="261">
        <f>IFERROR(INDEX('SOP register'!U:U,MATCH(CONCATENATE('SOP template'!$B$1,".",TEXT('SOP template'!$A16,"00")),'SOP register'!$F:$F,0)),"")</f>
        <v>0</v>
      </c>
      <c r="H16" s="262"/>
      <c r="I16">
        <f t="shared" si="0"/>
        <v>1</v>
      </c>
    </row>
    <row r="17" spans="1:9" s="86" customFormat="1" ht="39" hidden="1" customHeight="1" x14ac:dyDescent="0.25">
      <c r="A17" s="117">
        <v>12</v>
      </c>
      <c r="B17" s="256">
        <f>IFERROR(INDEX('SOP register'!P:P,MATCH(CONCATENATE('SOP template'!$B$1,".",TEXT('SOP template'!$A17,"00")),'SOP register'!$F:$F,0)),0)</f>
        <v>0</v>
      </c>
      <c r="C17" s="256"/>
      <c r="D17" s="29">
        <f>IFERROR(INDEX('SOP register'!Q:Q,MATCH(CONCATENATE('SOP template'!$B$1,".",TEXT('SOP template'!$A17,"00")),'SOP register'!$F:$F,0)),"")</f>
        <v>0</v>
      </c>
      <c r="E17" s="29">
        <f>IFERROR(INDEX('SOP register'!R:R,MATCH(CONCATENATE('SOP template'!$B$1,".",TEXT('SOP template'!$A17,"00")),'SOP register'!$F:$F,0)),"")</f>
        <v>0</v>
      </c>
      <c r="F17" s="13" t="str">
        <f>IFERROR(CLEAN(INDEX('Risk Matrix'!$F$6:$L$11,MATCH($D17,'Risk Matrix'!$F$6:$F$11,0),MATCH($E17,'Risk Matrix'!$F$6:$L$6,0))),"")</f>
        <v/>
      </c>
      <c r="G17" s="261">
        <f>IFERROR(INDEX('SOP register'!U:U,MATCH(CONCATENATE('SOP template'!$B$1,".",TEXT('SOP template'!$A17,"00")),'SOP register'!$F:$F,0)),"")</f>
        <v>0</v>
      </c>
      <c r="H17" s="262"/>
      <c r="I17">
        <f t="shared" si="0"/>
        <v>1</v>
      </c>
    </row>
    <row r="18" spans="1:9" s="86" customFormat="1" ht="39" hidden="1" customHeight="1" x14ac:dyDescent="0.25">
      <c r="A18" s="117">
        <v>13</v>
      </c>
      <c r="B18" s="256">
        <f>IFERROR(INDEX('SOP register'!P:P,MATCH(CONCATENATE('SOP template'!$B$1,".",TEXT('SOP template'!$A18,"00")),'SOP register'!$F:$F,0)),0)</f>
        <v>0</v>
      </c>
      <c r="C18" s="256"/>
      <c r="D18" s="29">
        <f>IFERROR(INDEX('SOP register'!Q:Q,MATCH(CONCATENATE('SOP template'!$B$1,".",TEXT('SOP template'!$A18,"00")),'SOP register'!$F:$F,0)),"")</f>
        <v>0</v>
      </c>
      <c r="E18" s="29">
        <f>IFERROR(INDEX('SOP register'!R:R,MATCH(CONCATENATE('SOP template'!$B$1,".",TEXT('SOP template'!$A18,"00")),'SOP register'!$F:$F,0)),"")</f>
        <v>0</v>
      </c>
      <c r="F18" s="13" t="str">
        <f>IFERROR(CLEAN(INDEX('Risk Matrix'!$F$6:$L$11,MATCH($D18,'Risk Matrix'!$F$6:$F$11,0),MATCH($E18,'Risk Matrix'!$F$6:$L$6,0))),"")</f>
        <v/>
      </c>
      <c r="G18" s="261">
        <f>IFERROR(INDEX('SOP register'!U:U,MATCH(CONCATENATE('SOP template'!$B$1,".",TEXT('SOP template'!$A18,"00")),'SOP register'!$F:$F,0)),"")</f>
        <v>0</v>
      </c>
      <c r="H18" s="262"/>
      <c r="I18">
        <f t="shared" si="0"/>
        <v>1</v>
      </c>
    </row>
    <row r="19" spans="1:9" s="86" customFormat="1" ht="39" hidden="1" customHeight="1" x14ac:dyDescent="0.25">
      <c r="A19" s="117">
        <v>14</v>
      </c>
      <c r="B19" s="256">
        <f>IFERROR(INDEX('SOP register'!P:P,MATCH(CONCATENATE('SOP template'!$B$1,".",TEXT('SOP template'!$A19,"00")),'SOP register'!$F:$F,0)),0)</f>
        <v>0</v>
      </c>
      <c r="C19" s="256"/>
      <c r="D19" s="29">
        <f>IFERROR(INDEX('SOP register'!Q:Q,MATCH(CONCATENATE('SOP template'!$B$1,".",TEXT('SOP template'!$A19,"00")),'SOP register'!$F:$F,0)),"")</f>
        <v>0</v>
      </c>
      <c r="E19" s="29">
        <f>IFERROR(INDEX('SOP register'!R:R,MATCH(CONCATENATE('SOP template'!$B$1,".",TEXT('SOP template'!$A19,"00")),'SOP register'!$F:$F,0)),"")</f>
        <v>0</v>
      </c>
      <c r="F19" s="13" t="str">
        <f>IFERROR(CLEAN(INDEX('Risk Matrix'!$F$6:$L$11,MATCH($D19,'Risk Matrix'!$F$6:$F$11,0),MATCH($E19,'Risk Matrix'!$F$6:$L$6,0))),"")</f>
        <v/>
      </c>
      <c r="G19" s="261">
        <f>IFERROR(INDEX('SOP register'!U:U,MATCH(CONCATENATE('SOP template'!$B$1,".",TEXT('SOP template'!$A19,"00")),'SOP register'!$F:$F,0)),"")</f>
        <v>0</v>
      </c>
      <c r="H19" s="262"/>
      <c r="I19">
        <f t="shared" si="0"/>
        <v>1</v>
      </c>
    </row>
    <row r="20" spans="1:9" s="86" customFormat="1" ht="39" hidden="1" customHeight="1" x14ac:dyDescent="0.25">
      <c r="A20" s="117">
        <v>15</v>
      </c>
      <c r="B20" s="256">
        <f>IFERROR(INDEX('SOP register'!P:P,MATCH(CONCATENATE('SOP template'!$B$1,".",TEXT('SOP template'!$A20,"00")),'SOP register'!$F:$F,0)),0)</f>
        <v>0</v>
      </c>
      <c r="C20" s="256"/>
      <c r="D20" s="29">
        <f>IFERROR(INDEX('SOP register'!Q:Q,MATCH(CONCATENATE('SOP template'!$B$1,".",TEXT('SOP template'!$A20,"00")),'SOP register'!$F:$F,0)),"")</f>
        <v>0</v>
      </c>
      <c r="E20" s="29">
        <f>IFERROR(INDEX('SOP register'!R:R,MATCH(CONCATENATE('SOP template'!$B$1,".",TEXT('SOP template'!$A20,"00")),'SOP register'!$F:$F,0)),"")</f>
        <v>0</v>
      </c>
      <c r="F20" s="13" t="str">
        <f>IFERROR(CLEAN(INDEX('Risk Matrix'!$F$6:$L$11,MATCH($D20,'Risk Matrix'!$F$6:$F$11,0),MATCH($E20,'Risk Matrix'!$F$6:$L$6,0))),"")</f>
        <v/>
      </c>
      <c r="G20" s="261">
        <f>IFERROR(INDEX('SOP register'!U:U,MATCH(CONCATENATE('SOP template'!$B$1,".",TEXT('SOP template'!$A20,"00")),'SOP register'!$F:$F,0)),"")</f>
        <v>0</v>
      </c>
      <c r="H20" s="262"/>
      <c r="I20">
        <f t="shared" si="0"/>
        <v>1</v>
      </c>
    </row>
    <row r="21" spans="1:9" s="86" customFormat="1" ht="39" hidden="1" customHeight="1" x14ac:dyDescent="0.25">
      <c r="A21" s="117">
        <v>16</v>
      </c>
      <c r="B21" s="256">
        <f>IFERROR(INDEX('SOP register'!P:P,MATCH(CONCATENATE('SOP template'!$B$1,".",TEXT('SOP template'!$A21,"00")),'SOP register'!$F:$F,0)),0)</f>
        <v>0</v>
      </c>
      <c r="C21" s="256"/>
      <c r="D21" s="29">
        <f>IFERROR(INDEX('SOP register'!Q:Q,MATCH(CONCATENATE('SOP template'!$B$1,".",TEXT('SOP template'!$A21,"00")),'SOP register'!$F:$F,0)),"")</f>
        <v>0</v>
      </c>
      <c r="E21" s="29">
        <f>IFERROR(INDEX('SOP register'!R:R,MATCH(CONCATENATE('SOP template'!$B$1,".",TEXT('SOP template'!$A21,"00")),'SOP register'!$F:$F,0)),"")</f>
        <v>0</v>
      </c>
      <c r="F21" s="13" t="str">
        <f>IFERROR(CLEAN(INDEX('Risk Matrix'!$F$6:$L$11,MATCH($D21,'Risk Matrix'!$F$6:$F$11,0),MATCH($E21,'Risk Matrix'!$F$6:$L$6,0))),"")</f>
        <v/>
      </c>
      <c r="G21" s="261">
        <f>IFERROR(INDEX('SOP register'!U:U,MATCH(CONCATENATE('SOP template'!$B$1,".",TEXT('SOP template'!$A21,"00")),'SOP register'!$F:$F,0)),"")</f>
        <v>0</v>
      </c>
      <c r="H21" s="262"/>
      <c r="I21">
        <f t="shared" si="0"/>
        <v>1</v>
      </c>
    </row>
    <row r="22" spans="1:9" s="86" customFormat="1" ht="39" hidden="1" customHeight="1" x14ac:dyDescent="0.25">
      <c r="A22" s="117">
        <v>17</v>
      </c>
      <c r="B22" s="256">
        <f>IFERROR(INDEX('SOP register'!P:P,MATCH(CONCATENATE('SOP template'!$B$1,".",TEXT('SOP template'!$A22,"00")),'SOP register'!$F:$F,0)),0)</f>
        <v>0</v>
      </c>
      <c r="C22" s="256"/>
      <c r="D22" s="29">
        <f>IFERROR(INDEX('SOP register'!Q:Q,MATCH(CONCATENATE('SOP template'!$B$1,".",TEXT('SOP template'!$A22,"00")),'SOP register'!$F:$F,0)),"")</f>
        <v>0</v>
      </c>
      <c r="E22" s="29">
        <f>IFERROR(INDEX('SOP register'!R:R,MATCH(CONCATENATE('SOP template'!$B$1,".",TEXT('SOP template'!$A22,"00")),'SOP register'!$F:$F,0)),"")</f>
        <v>0</v>
      </c>
      <c r="F22" s="13" t="str">
        <f>IFERROR(CLEAN(INDEX('Risk Matrix'!$F$6:$L$11,MATCH($D22,'Risk Matrix'!$F$6:$F$11,0),MATCH($E22,'Risk Matrix'!$F$6:$L$6,0))),"")</f>
        <v/>
      </c>
      <c r="G22" s="261">
        <f>IFERROR(INDEX('SOP register'!U:U,MATCH(CONCATENATE('SOP template'!$B$1,".",TEXT('SOP template'!$A22,"00")),'SOP register'!$F:$F,0)),"")</f>
        <v>0</v>
      </c>
      <c r="H22" s="262"/>
      <c r="I22">
        <f t="shared" si="0"/>
        <v>1</v>
      </c>
    </row>
    <row r="23" spans="1:9" s="86" customFormat="1" ht="39" hidden="1" customHeight="1" x14ac:dyDescent="0.25">
      <c r="A23" s="117">
        <v>18</v>
      </c>
      <c r="B23" s="256">
        <f>IFERROR(INDEX('SOP register'!P:P,MATCH(CONCATENATE('SOP template'!$B$1,".",TEXT('SOP template'!$A23,"00")),'SOP register'!$F:$F,0)),0)</f>
        <v>0</v>
      </c>
      <c r="C23" s="256"/>
      <c r="D23" s="29">
        <f>IFERROR(INDEX('SOP register'!Q:Q,MATCH(CONCATENATE('SOP template'!$B$1,".",TEXT('SOP template'!$A23,"00")),'SOP register'!$F:$F,0)),"")</f>
        <v>0</v>
      </c>
      <c r="E23" s="29">
        <f>IFERROR(INDEX('SOP register'!R:R,MATCH(CONCATENATE('SOP template'!$B$1,".",TEXT('SOP template'!$A23,"00")),'SOP register'!$F:$F,0)),"")</f>
        <v>0</v>
      </c>
      <c r="F23" s="13" t="str">
        <f>IFERROR(CLEAN(INDEX('Risk Matrix'!$F$6:$L$11,MATCH($D23,'Risk Matrix'!$F$6:$F$11,0),MATCH($E23,'Risk Matrix'!$F$6:$L$6,0))),"")</f>
        <v/>
      </c>
      <c r="G23" s="261">
        <f>IFERROR(INDEX('SOP register'!U:U,MATCH(CONCATENATE('SOP template'!$B$1,".",TEXT('SOP template'!$A23,"00")),'SOP register'!$F:$F,0)),"")</f>
        <v>0</v>
      </c>
      <c r="H23" s="262"/>
      <c r="I23">
        <f t="shared" si="0"/>
        <v>1</v>
      </c>
    </row>
    <row r="24" spans="1:9" x14ac:dyDescent="0.25">
      <c r="A24" s="117">
        <v>0</v>
      </c>
      <c r="B24" s="76"/>
      <c r="C24" s="77"/>
      <c r="D24" s="78" t="s">
        <v>104</v>
      </c>
      <c r="E24" s="78" t="s">
        <v>105</v>
      </c>
      <c r="F24" s="78" t="s">
        <v>106</v>
      </c>
      <c r="G24" s="79">
        <f>MAX('SOP register'!$T:$T)</f>
        <v>2</v>
      </c>
      <c r="H24" s="120"/>
      <c r="I24" s="77" t="s">
        <v>107</v>
      </c>
    </row>
    <row r="25" spans="1:9" x14ac:dyDescent="0.25">
      <c r="A25" t="s">
        <v>108</v>
      </c>
      <c r="B25" s="80" t="s">
        <v>109</v>
      </c>
      <c r="C25" s="81" t="s">
        <v>110</v>
      </c>
      <c r="D25" s="80" t="s">
        <v>111</v>
      </c>
      <c r="E25" s="80" t="s">
        <v>111</v>
      </c>
      <c r="F25" s="80" t="s">
        <v>111</v>
      </c>
      <c r="G25" s="80" t="s">
        <v>112</v>
      </c>
      <c r="H25" s="120"/>
      <c r="I25" s="80" t="s">
        <v>107</v>
      </c>
    </row>
    <row r="26" spans="1:9" ht="37.35" customHeight="1" x14ac:dyDescent="0.25">
      <c r="A26" s="117">
        <v>0</v>
      </c>
      <c r="B26" s="285" t="s">
        <v>113</v>
      </c>
      <c r="C26" s="285"/>
      <c r="D26" s="285"/>
      <c r="E26" s="285"/>
      <c r="F26" s="358"/>
      <c r="G26" s="358" t="s">
        <v>391</v>
      </c>
      <c r="I26" t="s">
        <v>107</v>
      </c>
    </row>
    <row r="27" spans="1:9" ht="24" customHeight="1" x14ac:dyDescent="0.25">
      <c r="A27" s="117">
        <v>0</v>
      </c>
      <c r="B27" s="269" t="str">
        <f>B1</f>
        <v>ALP.BSP.SOP.001</v>
      </c>
      <c r="C27" s="269"/>
      <c r="D27" s="269" t="str">
        <f>IFERROR(INDEX(Ref!X:X,MATCH(RIGHT(LEFT(B27,7),3),Ref!W:W,0)),"")</f>
        <v>Biological Specimen Preparation Lab</v>
      </c>
      <c r="E27" s="269"/>
      <c r="F27" s="269"/>
      <c r="G27" s="269"/>
      <c r="I27" t="s">
        <v>107</v>
      </c>
    </row>
    <row r="28" spans="1:9" ht="29.45" customHeight="1" x14ac:dyDescent="0.25">
      <c r="A28" s="117">
        <v>0</v>
      </c>
      <c r="B28" s="286" t="str">
        <f>IFERROR(VLOOKUP(B1,'SOP register'!$K:$L,2,0),"")</f>
        <v>Laboratory Entry and Exit</v>
      </c>
      <c r="C28" s="286"/>
      <c r="D28" s="286"/>
      <c r="E28" s="286"/>
      <c r="F28" s="286"/>
      <c r="G28" s="286"/>
      <c r="I28" t="s">
        <v>107</v>
      </c>
    </row>
    <row r="29" spans="1:9" ht="4.3499999999999996" customHeight="1" x14ac:dyDescent="0.25">
      <c r="B29" s="268"/>
      <c r="C29" s="268"/>
      <c r="D29" s="268"/>
      <c r="E29" s="268"/>
      <c r="F29" s="268"/>
      <c r="G29" s="268"/>
      <c r="I29" t="s">
        <v>107</v>
      </c>
    </row>
    <row r="30" spans="1:9" ht="18" customHeight="1" x14ac:dyDescent="0.35">
      <c r="B30" s="287" t="s">
        <v>114</v>
      </c>
      <c r="C30" s="287"/>
      <c r="D30" s="287"/>
      <c r="E30" s="287"/>
      <c r="F30" s="287"/>
      <c r="G30" s="287"/>
      <c r="I30" t="s">
        <v>107</v>
      </c>
    </row>
    <row r="31" spans="1:9" ht="3.6" customHeight="1" x14ac:dyDescent="0.25">
      <c r="B31" s="268"/>
      <c r="C31" s="268"/>
      <c r="D31" s="268"/>
      <c r="E31" s="268"/>
      <c r="F31" s="268"/>
      <c r="G31" s="268"/>
      <c r="I31" t="s">
        <v>107</v>
      </c>
    </row>
    <row r="32" spans="1:9" ht="18.600000000000001" customHeight="1" x14ac:dyDescent="0.25">
      <c r="B32" s="32"/>
      <c r="C32" s="33" t="s">
        <v>115</v>
      </c>
      <c r="D32" s="276" t="str">
        <f>IFERROR(LEFT(INDEX('SOP register'!$S:$S,MATCH('SOP template'!$G$24,'SOP register'!$T:$T,0)),LEN(INDEX('SOP register'!$S:$S,MATCH('SOP template'!$G$24,'SOP register'!$T:$T,0)))-2),"")</f>
        <v>Medium</v>
      </c>
      <c r="E32" s="277"/>
      <c r="F32" s="278"/>
      <c r="G32" s="31"/>
      <c r="I32" t="s">
        <v>107</v>
      </c>
    </row>
    <row r="33" spans="1:9" ht="14.1" customHeight="1" x14ac:dyDescent="0.25">
      <c r="B33" s="279" t="s">
        <v>116</v>
      </c>
      <c r="C33" s="280"/>
      <c r="D33" s="280"/>
      <c r="E33" s="280"/>
      <c r="F33" s="280"/>
      <c r="G33" s="281"/>
      <c r="I33" t="s">
        <v>107</v>
      </c>
    </row>
    <row r="34" spans="1:9" ht="48" hidden="1" customHeight="1" x14ac:dyDescent="0.25">
      <c r="A34" s="30"/>
      <c r="B34" s="94"/>
      <c r="C34" s="87" t="s">
        <v>117</v>
      </c>
      <c r="D34" s="87"/>
      <c r="E34" s="6"/>
      <c r="F34" s="87" t="s">
        <v>94</v>
      </c>
      <c r="G34" s="95"/>
      <c r="I34">
        <f>IF(OR(ISNUMBER(SEARCH(Ref!$H28,Ref!$F$2)),ISNUMBER(SEARCH(Ref!$H28,Ref!$F$3)),ISNUMBER(SEARCH(Ref!$H28,Ref!$F$4)),ISNUMBER(SEARCH(Ref!$H28,Ref!$F$5)),ISNUMBER(SEARCH(Ref!$H28,Ref!$F$6)),ISNUMBER(SEARCH(Ref!$H28,Ref!$F$7)),ISNUMBER(SEARCH(Ref!$H28,Ref!$F$8))),"",1)</f>
        <v>1</v>
      </c>
    </row>
    <row r="35" spans="1:9" ht="48" hidden="1" customHeight="1" x14ac:dyDescent="0.25">
      <c r="A35" s="30"/>
      <c r="B35" s="94"/>
      <c r="C35" s="87" t="s">
        <v>117</v>
      </c>
      <c r="D35" s="87"/>
      <c r="E35" s="6"/>
      <c r="F35" s="87" t="s">
        <v>118</v>
      </c>
      <c r="G35" s="95"/>
      <c r="I35">
        <f>IF(OR(ISNUMBER(SEARCH(Ref!$H29,Ref!$F$2)),ISNUMBER(SEARCH(Ref!$H29,Ref!$F$3)),ISNUMBER(SEARCH(Ref!$H29,Ref!$F$4)),ISNUMBER(SEARCH(Ref!$H29,Ref!$F$5)),ISNUMBER(SEARCH(Ref!$H29,Ref!$F$6)),ISNUMBER(SEARCH(Ref!$H29,Ref!$F$7)),ISNUMBER(SEARCH(Ref!$H29,Ref!$F$8))),"",1)</f>
        <v>1</v>
      </c>
    </row>
    <row r="36" spans="1:9" ht="48" hidden="1" customHeight="1" x14ac:dyDescent="0.25">
      <c r="A36" s="30"/>
      <c r="B36" s="94"/>
      <c r="C36" s="87" t="s">
        <v>117</v>
      </c>
      <c r="D36" s="87"/>
      <c r="E36" s="6"/>
      <c r="F36" s="87" t="s">
        <v>119</v>
      </c>
      <c r="G36" s="95"/>
      <c r="I36">
        <f>IF(OR(ISNUMBER(SEARCH(Ref!$H30,Ref!$F$2)),ISNUMBER(SEARCH(Ref!$H30,Ref!$F$3)),ISNUMBER(SEARCH(Ref!$H30,Ref!$F$4)),ISNUMBER(SEARCH(Ref!$H30,Ref!$F$5)),ISNUMBER(SEARCH(Ref!$H30,Ref!$F$6)),ISNUMBER(SEARCH(Ref!$H30,Ref!$F$7)),ISNUMBER(SEARCH(Ref!$H30,Ref!$F$8))),"",1)</f>
        <v>1</v>
      </c>
    </row>
    <row r="37" spans="1:9" ht="48" hidden="1" customHeight="1" x14ac:dyDescent="0.25">
      <c r="A37" s="30"/>
      <c r="B37" s="94"/>
      <c r="C37" s="87" t="s">
        <v>117</v>
      </c>
      <c r="D37" s="87"/>
      <c r="E37" s="6"/>
      <c r="F37" s="87" t="s">
        <v>120</v>
      </c>
      <c r="G37" s="95"/>
      <c r="I37">
        <f>IF(OR(ISNUMBER(SEARCH(Ref!$H31,Ref!$F$2)),ISNUMBER(SEARCH(Ref!$H31,Ref!$F$3)),ISNUMBER(SEARCH(Ref!$H31,Ref!$F$4)),ISNUMBER(SEARCH(Ref!$H31,Ref!$F$5)),ISNUMBER(SEARCH(Ref!$H31,Ref!$F$6)),ISNUMBER(SEARCH(Ref!$H31,Ref!$F$7)),ISNUMBER(SEARCH(Ref!$H31,Ref!$F$8))),"",1)</f>
        <v>1</v>
      </c>
    </row>
    <row r="38" spans="1:9" ht="48" hidden="1" customHeight="1" x14ac:dyDescent="0.25">
      <c r="A38" s="30"/>
      <c r="B38" s="94"/>
      <c r="C38" s="87" t="s">
        <v>117</v>
      </c>
      <c r="D38" s="87"/>
      <c r="E38" s="6"/>
      <c r="F38" s="87" t="s">
        <v>121</v>
      </c>
      <c r="G38" s="95"/>
      <c r="I38">
        <f>IF(OR(ISNUMBER(SEARCH(Ref!$H32,Ref!$F$2)),ISNUMBER(SEARCH(Ref!$H32,Ref!$F$3)),ISNUMBER(SEARCH(Ref!$H32,Ref!$F$4)),ISNUMBER(SEARCH(Ref!$H32,Ref!$F$5)),ISNUMBER(SEARCH(Ref!$H32,Ref!$F$6)),ISNUMBER(SEARCH(Ref!$H32,Ref!$F$7)),ISNUMBER(SEARCH(Ref!$H32,Ref!$F$8))),"",1)</f>
        <v>1</v>
      </c>
    </row>
    <row r="39" spans="1:9" ht="48" hidden="1" customHeight="1" x14ac:dyDescent="0.25">
      <c r="A39" s="30"/>
      <c r="B39" s="94"/>
      <c r="C39" s="87" t="s">
        <v>117</v>
      </c>
      <c r="D39" s="87"/>
      <c r="E39" s="6"/>
      <c r="F39" s="87" t="s">
        <v>88</v>
      </c>
      <c r="G39" s="95"/>
      <c r="I39">
        <f>IF(OR(ISNUMBER(SEARCH(Ref!$H33,Ref!$F$2)),ISNUMBER(SEARCH(Ref!$H33,Ref!$F$3)),ISNUMBER(SEARCH(Ref!$H33,Ref!$F$4)),ISNUMBER(SEARCH(Ref!$H33,Ref!$F$5)),ISNUMBER(SEARCH(Ref!$H33,Ref!$F$6)),ISNUMBER(SEARCH(Ref!$H33,Ref!$F$7)),ISNUMBER(SEARCH(Ref!$H33,Ref!$F$8))),"",1)</f>
        <v>1</v>
      </c>
    </row>
    <row r="40" spans="1:9" ht="48" hidden="1" customHeight="1" x14ac:dyDescent="0.25">
      <c r="A40" s="30"/>
      <c r="B40" s="94"/>
      <c r="C40" s="87" t="s">
        <v>117</v>
      </c>
      <c r="D40" s="87"/>
      <c r="E40" s="6"/>
      <c r="F40" s="87" t="s">
        <v>122</v>
      </c>
      <c r="G40" s="95"/>
      <c r="I40">
        <f>IF(OR(ISNUMBER(SEARCH(Ref!$H34,Ref!$F$2)),ISNUMBER(SEARCH(Ref!$H34,Ref!$F$3)),ISNUMBER(SEARCH(Ref!$H34,Ref!$F$4)),ISNUMBER(SEARCH(Ref!$H34,Ref!$F$5)),ISNUMBER(SEARCH(Ref!$H34,Ref!$F$6)),ISNUMBER(SEARCH(Ref!$H34,Ref!$F$7)),ISNUMBER(SEARCH(Ref!$H34,Ref!$F$8))),"",1)</f>
        <v>1</v>
      </c>
    </row>
    <row r="41" spans="1:9" ht="48" hidden="1" customHeight="1" x14ac:dyDescent="0.25">
      <c r="A41" s="30"/>
      <c r="B41" s="94"/>
      <c r="C41" s="87" t="s">
        <v>117</v>
      </c>
      <c r="D41" s="87"/>
      <c r="E41" s="6"/>
      <c r="F41" s="87" t="s">
        <v>123</v>
      </c>
      <c r="G41" s="95"/>
      <c r="I41">
        <f>IF(OR(ISNUMBER(SEARCH(Ref!$H35,Ref!$F$2)),ISNUMBER(SEARCH(Ref!$H35,Ref!$F$3)),ISNUMBER(SEARCH(Ref!$H35,Ref!$F$4)),ISNUMBER(SEARCH(Ref!$H35,Ref!$F$5)),ISNUMBER(SEARCH(Ref!$H35,Ref!$F$6)),ISNUMBER(SEARCH(Ref!$H35,Ref!$F$7)),ISNUMBER(SEARCH(Ref!$H35,Ref!$F$8))),"",1)</f>
        <v>1</v>
      </c>
    </row>
    <row r="42" spans="1:9" ht="48" hidden="1" customHeight="1" x14ac:dyDescent="0.25">
      <c r="A42" s="30"/>
      <c r="B42" s="94"/>
      <c r="C42" s="87" t="s">
        <v>117</v>
      </c>
      <c r="D42" s="87"/>
      <c r="E42" s="6"/>
      <c r="F42" s="87" t="s">
        <v>124</v>
      </c>
      <c r="G42" s="95"/>
      <c r="I42">
        <f>IF(OR(ISNUMBER(SEARCH(Ref!$H36,Ref!$F$2)),ISNUMBER(SEARCH(Ref!$H36,Ref!$F$3)),ISNUMBER(SEARCH(Ref!$H36,Ref!$F$4)),ISNUMBER(SEARCH(Ref!$H36,Ref!$F$5)),ISNUMBER(SEARCH(Ref!$H36,Ref!$F$6)),ISNUMBER(SEARCH(Ref!$H36,Ref!$F$7)),ISNUMBER(SEARCH(Ref!$H36,Ref!$F$8))),"",1)</f>
        <v>1</v>
      </c>
    </row>
    <row r="43" spans="1:9" ht="48" hidden="1" customHeight="1" x14ac:dyDescent="0.25">
      <c r="A43" s="30"/>
      <c r="B43" s="94"/>
      <c r="C43" s="87" t="s">
        <v>117</v>
      </c>
      <c r="D43" s="87"/>
      <c r="E43" s="6"/>
      <c r="F43" s="87" t="s">
        <v>95</v>
      </c>
      <c r="G43" s="95"/>
      <c r="I43">
        <f>IF(OR(ISNUMBER(SEARCH(Ref!$H37,Ref!$F$2)),ISNUMBER(SEARCH(Ref!$H37,Ref!$F$3)),ISNUMBER(SEARCH(Ref!$H37,Ref!$F$4)),ISNUMBER(SEARCH(Ref!$H37,Ref!$F$5)),ISNUMBER(SEARCH(Ref!$H37,Ref!$F$6)),ISNUMBER(SEARCH(Ref!$H37,Ref!$F$7)),ISNUMBER(SEARCH(Ref!$H37,Ref!$F$8))),"",1)</f>
        <v>1</v>
      </c>
    </row>
    <row r="44" spans="1:9" ht="48" hidden="1" customHeight="1" x14ac:dyDescent="0.25">
      <c r="A44" s="30"/>
      <c r="B44" s="94"/>
      <c r="C44" s="87" t="s">
        <v>117</v>
      </c>
      <c r="D44" s="87"/>
      <c r="E44" s="6"/>
      <c r="F44" s="87" t="s">
        <v>125</v>
      </c>
      <c r="G44" s="95"/>
      <c r="I44">
        <f>IF(OR(ISNUMBER(SEARCH(Ref!$H38,Ref!$F$2)),ISNUMBER(SEARCH(Ref!$H38,Ref!$F$3)),ISNUMBER(SEARCH(Ref!$H38,Ref!$F$4)),ISNUMBER(SEARCH(Ref!$H38,Ref!$F$5)),ISNUMBER(SEARCH(Ref!$H38,Ref!$F$6)),ISNUMBER(SEARCH(Ref!$H38,Ref!$F$7)),ISNUMBER(SEARCH(Ref!$H38,Ref!$F$8))),"",1)</f>
        <v>1</v>
      </c>
    </row>
    <row r="45" spans="1:9" ht="48" hidden="1" customHeight="1" x14ac:dyDescent="0.25">
      <c r="A45" s="30"/>
      <c r="B45" s="94"/>
      <c r="C45" s="87" t="s">
        <v>117</v>
      </c>
      <c r="D45" s="87"/>
      <c r="E45" s="6"/>
      <c r="F45" s="87" t="s">
        <v>126</v>
      </c>
      <c r="G45" s="95"/>
      <c r="I45">
        <f>IF(OR(ISNUMBER(SEARCH(Ref!$H39,Ref!$F$2)),ISNUMBER(SEARCH(Ref!$H39,Ref!$F$3)),ISNUMBER(SEARCH(Ref!$H39,Ref!$F$4)),ISNUMBER(SEARCH(Ref!$H39,Ref!$F$5)),ISNUMBER(SEARCH(Ref!$H39,Ref!$F$6)),ISNUMBER(SEARCH(Ref!$H39,Ref!$F$7)),ISNUMBER(SEARCH(Ref!$H39,Ref!$F$8))),"",1)</f>
        <v>1</v>
      </c>
    </row>
    <row r="46" spans="1:9" ht="48" hidden="1" customHeight="1" x14ac:dyDescent="0.25">
      <c r="A46" s="30"/>
      <c r="B46" s="94"/>
      <c r="C46" s="87" t="s">
        <v>117</v>
      </c>
      <c r="D46" s="87"/>
      <c r="E46" s="6"/>
      <c r="F46" s="87" t="s">
        <v>127</v>
      </c>
      <c r="G46" s="95"/>
      <c r="I46">
        <f>IF(OR(ISNUMBER(SEARCH(Ref!$H40,Ref!$F$2)),ISNUMBER(SEARCH(Ref!$H40,Ref!$F$3)),ISNUMBER(SEARCH(Ref!$H40,Ref!$F$4)),ISNUMBER(SEARCH(Ref!$H40,Ref!$F$5)),ISNUMBER(SEARCH(Ref!$H40,Ref!$F$6)),ISNUMBER(SEARCH(Ref!$H40,Ref!$F$7)),ISNUMBER(SEARCH(Ref!$H40,Ref!$F$8))),"",1)</f>
        <v>1</v>
      </c>
    </row>
    <row r="47" spans="1:9" ht="48" hidden="1" customHeight="1" x14ac:dyDescent="0.25">
      <c r="A47" s="30"/>
      <c r="B47" s="94"/>
      <c r="C47" s="87" t="s">
        <v>117</v>
      </c>
      <c r="D47" s="87"/>
      <c r="E47" s="6"/>
      <c r="F47" s="87" t="s">
        <v>128</v>
      </c>
      <c r="G47" s="95"/>
      <c r="I47">
        <f>IF(OR(ISNUMBER(SEARCH(Ref!$H41,Ref!$F$2)),ISNUMBER(SEARCH(Ref!$H41,Ref!$F$3)),ISNUMBER(SEARCH(Ref!$H41,Ref!$F$4)),ISNUMBER(SEARCH(Ref!$H41,Ref!$F$5)),ISNUMBER(SEARCH(Ref!$H41,Ref!$F$6)),ISNUMBER(SEARCH(Ref!$H41,Ref!$F$7)),ISNUMBER(SEARCH(Ref!$H41,Ref!$F$8))),"",1)</f>
        <v>1</v>
      </c>
    </row>
    <row r="48" spans="1:9" ht="48" hidden="1" customHeight="1" x14ac:dyDescent="0.25">
      <c r="A48" s="30"/>
      <c r="B48" s="94"/>
      <c r="C48" s="87" t="s">
        <v>117</v>
      </c>
      <c r="D48" s="87"/>
      <c r="E48" s="6"/>
      <c r="F48" s="87" t="s">
        <v>129</v>
      </c>
      <c r="G48" s="95"/>
      <c r="I48">
        <f>IF(OR(ISNUMBER(SEARCH(Ref!$H42,Ref!$F$2)),ISNUMBER(SEARCH(Ref!$H42,Ref!$F$3)),ISNUMBER(SEARCH(Ref!$H42,Ref!$F$4)),ISNUMBER(SEARCH(Ref!$H42,Ref!$F$5)),ISNUMBER(SEARCH(Ref!$H42,Ref!$F$6)),ISNUMBER(SEARCH(Ref!$H42,Ref!$F$7)),ISNUMBER(SEARCH(Ref!$H42,Ref!$F$8))),"",1)</f>
        <v>1</v>
      </c>
    </row>
    <row r="49" spans="1:9" ht="48" hidden="1" customHeight="1" x14ac:dyDescent="0.25">
      <c r="A49" s="30"/>
      <c r="B49" s="94"/>
      <c r="C49" s="87" t="s">
        <v>117</v>
      </c>
      <c r="D49" s="87"/>
      <c r="E49" s="6"/>
      <c r="F49" s="87" t="s">
        <v>130</v>
      </c>
      <c r="G49" s="95"/>
      <c r="I49">
        <f>IF(OR(ISNUMBER(SEARCH(Ref!$H43,Ref!$F$2)),ISNUMBER(SEARCH(Ref!$H43,Ref!$F$3)),ISNUMBER(SEARCH(Ref!$H43,Ref!$F$4)),ISNUMBER(SEARCH(Ref!$H43,Ref!$F$5)),ISNUMBER(SEARCH(Ref!$H43,Ref!$F$6)),ISNUMBER(SEARCH(Ref!$H43,Ref!$F$7)),ISNUMBER(SEARCH(Ref!$H43,Ref!$F$8))),"",1)</f>
        <v>1</v>
      </c>
    </row>
    <row r="50" spans="1:9" ht="48" hidden="1" customHeight="1" x14ac:dyDescent="0.25">
      <c r="A50" s="30"/>
      <c r="B50" s="94"/>
      <c r="C50" s="87" t="s">
        <v>117</v>
      </c>
      <c r="D50" s="87"/>
      <c r="E50" s="6"/>
      <c r="F50" s="87" t="s">
        <v>131</v>
      </c>
      <c r="G50" s="95"/>
      <c r="I50">
        <f>IF(OR(ISNUMBER(SEARCH(Ref!$H44,Ref!$F$2)),ISNUMBER(SEARCH(Ref!$H44,Ref!$F$3)),ISNUMBER(SEARCH(Ref!$H44,Ref!$F$4)),ISNUMBER(SEARCH(Ref!$H44,Ref!$F$5)),ISNUMBER(SEARCH(Ref!$H44,Ref!$F$6)),ISNUMBER(SEARCH(Ref!$H44,Ref!$F$7)),ISNUMBER(SEARCH(Ref!$H44,Ref!$F$8))),"",1)</f>
        <v>1</v>
      </c>
    </row>
    <row r="51" spans="1:9" ht="48" hidden="1" customHeight="1" x14ac:dyDescent="0.25">
      <c r="A51" s="30"/>
      <c r="B51" s="94"/>
      <c r="C51" s="87" t="s">
        <v>117</v>
      </c>
      <c r="D51" s="87"/>
      <c r="E51" s="6"/>
      <c r="F51" s="87" t="s">
        <v>132</v>
      </c>
      <c r="G51" s="95"/>
      <c r="I51">
        <f>IF(OR(ISNUMBER(SEARCH(Ref!$H45,Ref!$F$2)),ISNUMBER(SEARCH(Ref!$H45,Ref!$F$3)),ISNUMBER(SEARCH(Ref!$H45,Ref!$F$4)),ISNUMBER(SEARCH(Ref!$H45,Ref!$F$5)),ISNUMBER(SEARCH(Ref!$H45,Ref!$F$6)),ISNUMBER(SEARCH(Ref!$H45,Ref!$F$7)),ISNUMBER(SEARCH(Ref!$H45,Ref!$F$8))),"",1)</f>
        <v>1</v>
      </c>
    </row>
    <row r="52" spans="1:9" ht="48" hidden="1" customHeight="1" x14ac:dyDescent="0.25">
      <c r="A52" s="30"/>
      <c r="B52" s="94"/>
      <c r="C52" s="87" t="s">
        <v>117</v>
      </c>
      <c r="D52" s="87"/>
      <c r="E52" s="6"/>
      <c r="F52" s="87" t="s">
        <v>133</v>
      </c>
      <c r="G52" s="95"/>
      <c r="I52">
        <f>IF(OR(ISNUMBER(SEARCH(Ref!$H46,Ref!$F$2)),ISNUMBER(SEARCH(Ref!$H46,Ref!$F$3)),ISNUMBER(SEARCH(Ref!$H46,Ref!$F$4)),ISNUMBER(SEARCH(Ref!$H46,Ref!$F$5)),ISNUMBER(SEARCH(Ref!$H46,Ref!$F$6)),ISNUMBER(SEARCH(Ref!$H46,Ref!$F$7)),ISNUMBER(SEARCH(Ref!$H46,Ref!$F$8))),"",1)</f>
        <v>1</v>
      </c>
    </row>
    <row r="53" spans="1:9" ht="48" hidden="1" customHeight="1" x14ac:dyDescent="0.25">
      <c r="A53" s="30"/>
      <c r="B53" s="94"/>
      <c r="C53" s="87" t="s">
        <v>117</v>
      </c>
      <c r="D53" s="87"/>
      <c r="E53" s="6"/>
      <c r="F53" s="87" t="s">
        <v>134</v>
      </c>
      <c r="G53" s="95"/>
      <c r="I53">
        <f>IF(OR(ISNUMBER(SEARCH(Ref!$H47,Ref!$F$2)),ISNUMBER(SEARCH(Ref!$H47,Ref!$F$3)),ISNUMBER(SEARCH(Ref!$H47,Ref!$F$4)),ISNUMBER(SEARCH(Ref!$H47,Ref!$F$5)),ISNUMBER(SEARCH(Ref!$H47,Ref!$F$6)),ISNUMBER(SEARCH(Ref!$H47,Ref!$F$7)),ISNUMBER(SEARCH(Ref!$H47,Ref!$F$8))),"",1)</f>
        <v>1</v>
      </c>
    </row>
    <row r="54" spans="1:9" ht="48" hidden="1" customHeight="1" x14ac:dyDescent="0.25">
      <c r="A54" s="30"/>
      <c r="B54" s="94"/>
      <c r="C54" s="87" t="s">
        <v>117</v>
      </c>
      <c r="D54" s="87"/>
      <c r="E54" s="6"/>
      <c r="F54" s="87" t="s">
        <v>135</v>
      </c>
      <c r="G54" s="95"/>
      <c r="I54">
        <f>IF(OR(ISNUMBER(SEARCH(Ref!$H48,Ref!$F$2)),ISNUMBER(SEARCH(Ref!$H48,Ref!$F$3)),ISNUMBER(SEARCH(Ref!$H48,Ref!$F$4)),ISNUMBER(SEARCH(Ref!$H48,Ref!$F$5)),ISNUMBER(SEARCH(Ref!$H48,Ref!$F$6)),ISNUMBER(SEARCH(Ref!$H48,Ref!$F$7)),ISNUMBER(SEARCH(Ref!$H48,Ref!$F$8))),"",1)</f>
        <v>1</v>
      </c>
    </row>
    <row r="55" spans="1:9" ht="48" hidden="1" customHeight="1" x14ac:dyDescent="0.25">
      <c r="A55" s="30"/>
      <c r="B55" s="94"/>
      <c r="C55" s="87" t="s">
        <v>117</v>
      </c>
      <c r="D55" s="87"/>
      <c r="E55" s="6"/>
      <c r="F55" s="87" t="s">
        <v>136</v>
      </c>
      <c r="G55" s="95"/>
      <c r="I55">
        <f>IF(OR(ISNUMBER(SEARCH(Ref!$H49,Ref!$F$2)),ISNUMBER(SEARCH(Ref!$H49,Ref!$F$3)),ISNUMBER(SEARCH(Ref!$H49,Ref!$F$4)),ISNUMBER(SEARCH(Ref!$H49,Ref!$F$5)),ISNUMBER(SEARCH(Ref!$H49,Ref!$F$6)),ISNUMBER(SEARCH(Ref!$H49,Ref!$F$7)),ISNUMBER(SEARCH(Ref!$H49,Ref!$F$8))),"",1)</f>
        <v>1</v>
      </c>
    </row>
    <row r="56" spans="1:9" ht="48" hidden="1" customHeight="1" x14ac:dyDescent="0.25">
      <c r="A56" s="30"/>
      <c r="B56" s="94"/>
      <c r="C56" s="87" t="s">
        <v>117</v>
      </c>
      <c r="D56" s="87"/>
      <c r="E56" s="6"/>
      <c r="F56" s="87" t="s">
        <v>137</v>
      </c>
      <c r="G56" s="95"/>
      <c r="I56">
        <f>IF(OR(ISNUMBER(SEARCH(Ref!$H50,Ref!$F$2)),ISNUMBER(SEARCH(Ref!$H50,Ref!$F$3)),ISNUMBER(SEARCH(Ref!$H50,Ref!$F$4)),ISNUMBER(SEARCH(Ref!$H50,Ref!$F$5)),ISNUMBER(SEARCH(Ref!$H50,Ref!$F$6)),ISNUMBER(SEARCH(Ref!$H50,Ref!$F$7)),ISNUMBER(SEARCH(Ref!$H50,Ref!$F$8))),"",1)</f>
        <v>1</v>
      </c>
    </row>
    <row r="57" spans="1:9" ht="48" hidden="1" customHeight="1" x14ac:dyDescent="0.25">
      <c r="A57" s="30"/>
      <c r="B57" s="94"/>
      <c r="C57" s="87" t="s">
        <v>117</v>
      </c>
      <c r="D57" s="87"/>
      <c r="E57" s="6"/>
      <c r="F57" s="87" t="s">
        <v>138</v>
      </c>
      <c r="G57" s="95"/>
      <c r="I57">
        <f>IF(OR(ISNUMBER(SEARCH(Ref!$H51,Ref!$F$2)),ISNUMBER(SEARCH(Ref!$H51,Ref!$F$3)),ISNUMBER(SEARCH(Ref!$H51,Ref!$F$4)),ISNUMBER(SEARCH(Ref!$H51,Ref!$F$5)),ISNUMBER(SEARCH(Ref!$H51,Ref!$F$6)),ISNUMBER(SEARCH(Ref!$H51,Ref!$F$7)),ISNUMBER(SEARCH(Ref!$H51,Ref!$F$8))),"",1)</f>
        <v>1</v>
      </c>
    </row>
    <row r="58" spans="1:9" ht="48" hidden="1" customHeight="1" x14ac:dyDescent="0.25">
      <c r="A58" s="30"/>
      <c r="B58" s="94"/>
      <c r="C58" s="87" t="s">
        <v>117</v>
      </c>
      <c r="D58" s="87"/>
      <c r="E58" s="6"/>
      <c r="F58" s="87" t="s">
        <v>139</v>
      </c>
      <c r="G58" s="95"/>
      <c r="I58">
        <f>IF(OR(ISNUMBER(SEARCH(Ref!$H52,Ref!$F$2)),ISNUMBER(SEARCH(Ref!$H52,Ref!$F$3)),ISNUMBER(SEARCH(Ref!$H52,Ref!$F$4)),ISNUMBER(SEARCH(Ref!$H52,Ref!$F$5)),ISNUMBER(SEARCH(Ref!$H52,Ref!$F$6)),ISNUMBER(SEARCH(Ref!$H52,Ref!$F$7)),ISNUMBER(SEARCH(Ref!$H52,Ref!$F$8))),"",1)</f>
        <v>1</v>
      </c>
    </row>
    <row r="59" spans="1:9" ht="48" hidden="1" customHeight="1" x14ac:dyDescent="0.25">
      <c r="A59" s="30"/>
      <c r="B59" s="94"/>
      <c r="C59" s="87" t="s">
        <v>94</v>
      </c>
      <c r="D59" s="87"/>
      <c r="E59" s="6"/>
      <c r="F59" s="87" t="s">
        <v>121</v>
      </c>
      <c r="G59" s="95"/>
      <c r="I59">
        <f>IF(OR(ISNUMBER(SEARCH(Ref!$H53,Ref!$F$2)),ISNUMBER(SEARCH(Ref!$H53,Ref!$F$3)),ISNUMBER(SEARCH(Ref!$H53,Ref!$F$4)),ISNUMBER(SEARCH(Ref!$H53,Ref!$F$5)),ISNUMBER(SEARCH(Ref!$H53,Ref!$F$6)),ISNUMBER(SEARCH(Ref!$H53,Ref!$F$7)),ISNUMBER(SEARCH(Ref!$H53,Ref!$F$8))),"",1)</f>
        <v>1</v>
      </c>
    </row>
    <row r="60" spans="1:9" ht="48" customHeight="1" x14ac:dyDescent="0.25">
      <c r="A60" s="30"/>
      <c r="B60" s="94"/>
      <c r="C60" s="87" t="s">
        <v>94</v>
      </c>
      <c r="D60" s="87"/>
      <c r="E60" s="6"/>
      <c r="F60" s="87" t="s">
        <v>88</v>
      </c>
      <c r="G60" s="95"/>
      <c r="I60" t="str">
        <f>IF(OR(ISNUMBER(SEARCH(Ref!$H54,Ref!$F$2)),ISNUMBER(SEARCH(Ref!$H54,Ref!$F$3)),ISNUMBER(SEARCH(Ref!$H54,Ref!$F$4)),ISNUMBER(SEARCH(Ref!$H54,Ref!$F$5)),ISNUMBER(SEARCH(Ref!$H54,Ref!$F$6)),ISNUMBER(SEARCH(Ref!$H54,Ref!$F$7)),ISNUMBER(SEARCH(Ref!$H54,Ref!$F$8))),"",1)</f>
        <v/>
      </c>
    </row>
    <row r="61" spans="1:9" ht="48" hidden="1" customHeight="1" x14ac:dyDescent="0.25">
      <c r="A61" s="30"/>
      <c r="B61" s="94"/>
      <c r="C61" s="87" t="s">
        <v>94</v>
      </c>
      <c r="D61" s="87"/>
      <c r="E61" s="6"/>
      <c r="F61" s="87" t="s">
        <v>122</v>
      </c>
      <c r="G61" s="95"/>
      <c r="I61">
        <f>IF(OR(ISNUMBER(SEARCH(Ref!$H55,Ref!$F$2)),ISNUMBER(SEARCH(Ref!$H55,Ref!$F$3)),ISNUMBER(SEARCH(Ref!$H55,Ref!$F$4)),ISNUMBER(SEARCH(Ref!$H55,Ref!$F$5)),ISNUMBER(SEARCH(Ref!$H55,Ref!$F$6)),ISNUMBER(SEARCH(Ref!$H55,Ref!$F$7)),ISNUMBER(SEARCH(Ref!$H55,Ref!$F$8))),"",1)</f>
        <v>1</v>
      </c>
    </row>
    <row r="62" spans="1:9" ht="48" hidden="1" customHeight="1" x14ac:dyDescent="0.25">
      <c r="A62" s="30"/>
      <c r="B62" s="94"/>
      <c r="C62" s="87" t="s">
        <v>94</v>
      </c>
      <c r="D62" s="87"/>
      <c r="E62" s="6"/>
      <c r="F62" s="87" t="s">
        <v>123</v>
      </c>
      <c r="G62" s="95"/>
      <c r="I62">
        <f>IF(OR(ISNUMBER(SEARCH(Ref!$H56,Ref!$F$2)),ISNUMBER(SEARCH(Ref!$H56,Ref!$F$3)),ISNUMBER(SEARCH(Ref!$H56,Ref!$F$4)),ISNUMBER(SEARCH(Ref!$H56,Ref!$F$5)),ISNUMBER(SEARCH(Ref!$H56,Ref!$F$6)),ISNUMBER(SEARCH(Ref!$H56,Ref!$F$7)),ISNUMBER(SEARCH(Ref!$H56,Ref!$F$8))),"",1)</f>
        <v>1</v>
      </c>
    </row>
    <row r="63" spans="1:9" ht="48" hidden="1" customHeight="1" x14ac:dyDescent="0.25">
      <c r="A63" s="30"/>
      <c r="B63" s="94"/>
      <c r="C63" s="87" t="s">
        <v>94</v>
      </c>
      <c r="D63" s="87"/>
      <c r="E63" s="6"/>
      <c r="F63" s="87" t="s">
        <v>124</v>
      </c>
      <c r="G63" s="95"/>
      <c r="I63">
        <f>IF(OR(ISNUMBER(SEARCH(Ref!$H57,Ref!$F$2)),ISNUMBER(SEARCH(Ref!$H57,Ref!$F$3)),ISNUMBER(SEARCH(Ref!$H57,Ref!$F$4)),ISNUMBER(SEARCH(Ref!$H57,Ref!$F$5)),ISNUMBER(SEARCH(Ref!$H57,Ref!$F$6)),ISNUMBER(SEARCH(Ref!$H57,Ref!$F$7)),ISNUMBER(SEARCH(Ref!$H57,Ref!$F$8))),"",1)</f>
        <v>1</v>
      </c>
    </row>
    <row r="64" spans="1:9" ht="48" hidden="1" customHeight="1" x14ac:dyDescent="0.25">
      <c r="A64" s="30"/>
      <c r="B64" s="94"/>
      <c r="C64" s="87" t="s">
        <v>94</v>
      </c>
      <c r="D64" s="87"/>
      <c r="E64" s="6"/>
      <c r="F64" s="87" t="s">
        <v>95</v>
      </c>
      <c r="G64" s="95"/>
      <c r="I64">
        <f>IF(OR(ISNUMBER(SEARCH(Ref!$H58,Ref!$F$2)),ISNUMBER(SEARCH(Ref!$H58,Ref!$F$3)),ISNUMBER(SEARCH(Ref!$H58,Ref!$F$4)),ISNUMBER(SEARCH(Ref!$H58,Ref!$F$5)),ISNUMBER(SEARCH(Ref!$H58,Ref!$F$6)),ISNUMBER(SEARCH(Ref!$H58,Ref!$F$7)),ISNUMBER(SEARCH(Ref!$H58,Ref!$F$8))),"",1)</f>
        <v>1</v>
      </c>
    </row>
    <row r="65" spans="1:9" ht="48" hidden="1" customHeight="1" x14ac:dyDescent="0.25">
      <c r="A65" s="30"/>
      <c r="B65" s="94"/>
      <c r="C65" s="87" t="s">
        <v>94</v>
      </c>
      <c r="D65" s="87"/>
      <c r="E65" s="6"/>
      <c r="F65" s="87" t="s">
        <v>125</v>
      </c>
      <c r="G65" s="95"/>
      <c r="I65">
        <f>IF(OR(ISNUMBER(SEARCH(Ref!$H59,Ref!$F$2)),ISNUMBER(SEARCH(Ref!$H59,Ref!$F$3)),ISNUMBER(SEARCH(Ref!$H59,Ref!$F$4)),ISNUMBER(SEARCH(Ref!$H59,Ref!$F$5)),ISNUMBER(SEARCH(Ref!$H59,Ref!$F$6)),ISNUMBER(SEARCH(Ref!$H59,Ref!$F$7)),ISNUMBER(SEARCH(Ref!$H59,Ref!$F$8))),"",1)</f>
        <v>1</v>
      </c>
    </row>
    <row r="66" spans="1:9" ht="48" hidden="1" customHeight="1" x14ac:dyDescent="0.25">
      <c r="A66" s="30"/>
      <c r="B66" s="94"/>
      <c r="C66" s="87" t="s">
        <v>94</v>
      </c>
      <c r="D66" s="87"/>
      <c r="E66" s="6"/>
      <c r="F66" s="87" t="s">
        <v>126</v>
      </c>
      <c r="G66" s="95"/>
      <c r="I66">
        <f>IF(OR(ISNUMBER(SEARCH(Ref!$H60,Ref!$F$2)),ISNUMBER(SEARCH(Ref!$H60,Ref!$F$3)),ISNUMBER(SEARCH(Ref!$H60,Ref!$F$4)),ISNUMBER(SEARCH(Ref!$H60,Ref!$F$5)),ISNUMBER(SEARCH(Ref!$H60,Ref!$F$6)),ISNUMBER(SEARCH(Ref!$H60,Ref!$F$7)),ISNUMBER(SEARCH(Ref!$H60,Ref!$F$8))),"",1)</f>
        <v>1</v>
      </c>
    </row>
    <row r="67" spans="1:9" ht="48" hidden="1" customHeight="1" x14ac:dyDescent="0.25">
      <c r="A67" s="30"/>
      <c r="B67" s="94"/>
      <c r="C67" s="87" t="s">
        <v>94</v>
      </c>
      <c r="D67" s="87"/>
      <c r="E67" s="6"/>
      <c r="F67" s="87" t="s">
        <v>127</v>
      </c>
      <c r="G67" s="95"/>
      <c r="I67">
        <f>IF(OR(ISNUMBER(SEARCH(Ref!$H61,Ref!$F$2)),ISNUMBER(SEARCH(Ref!$H61,Ref!$F$3)),ISNUMBER(SEARCH(Ref!$H61,Ref!$F$4)),ISNUMBER(SEARCH(Ref!$H61,Ref!$F$5)),ISNUMBER(SEARCH(Ref!$H61,Ref!$F$6)),ISNUMBER(SEARCH(Ref!$H61,Ref!$F$7)),ISNUMBER(SEARCH(Ref!$H61,Ref!$F$8))),"",1)</f>
        <v>1</v>
      </c>
    </row>
    <row r="68" spans="1:9" ht="48" hidden="1" customHeight="1" x14ac:dyDescent="0.25">
      <c r="A68" s="30"/>
      <c r="B68" s="94"/>
      <c r="C68" s="87" t="s">
        <v>94</v>
      </c>
      <c r="D68" s="87"/>
      <c r="E68" s="6"/>
      <c r="F68" s="87" t="s">
        <v>128</v>
      </c>
      <c r="G68" s="95"/>
      <c r="I68">
        <f>IF(OR(ISNUMBER(SEARCH(Ref!$H62,Ref!$F$2)),ISNUMBER(SEARCH(Ref!$H62,Ref!$F$3)),ISNUMBER(SEARCH(Ref!$H62,Ref!$F$4)),ISNUMBER(SEARCH(Ref!$H62,Ref!$F$5)),ISNUMBER(SEARCH(Ref!$H62,Ref!$F$6)),ISNUMBER(SEARCH(Ref!$H62,Ref!$F$7)),ISNUMBER(SEARCH(Ref!$H62,Ref!$F$8))),"",1)</f>
        <v>1</v>
      </c>
    </row>
    <row r="69" spans="1:9" ht="48" hidden="1" customHeight="1" x14ac:dyDescent="0.25">
      <c r="A69" s="30"/>
      <c r="B69" s="94"/>
      <c r="C69" s="87" t="s">
        <v>94</v>
      </c>
      <c r="D69" s="87"/>
      <c r="E69" s="6"/>
      <c r="F69" s="87" t="s">
        <v>129</v>
      </c>
      <c r="G69" s="95"/>
      <c r="I69">
        <f>IF(OR(ISNUMBER(SEARCH(Ref!$H63,Ref!$F$2)),ISNUMBER(SEARCH(Ref!$H63,Ref!$F$3)),ISNUMBER(SEARCH(Ref!$H63,Ref!$F$4)),ISNUMBER(SEARCH(Ref!$H63,Ref!$F$5)),ISNUMBER(SEARCH(Ref!$H63,Ref!$F$6)),ISNUMBER(SEARCH(Ref!$H63,Ref!$F$7)),ISNUMBER(SEARCH(Ref!$H63,Ref!$F$8))),"",1)</f>
        <v>1</v>
      </c>
    </row>
    <row r="70" spans="1:9" ht="48" hidden="1" customHeight="1" x14ac:dyDescent="0.25">
      <c r="A70" s="30"/>
      <c r="B70" s="94"/>
      <c r="C70" s="87" t="s">
        <v>94</v>
      </c>
      <c r="D70" s="87"/>
      <c r="E70" s="6"/>
      <c r="F70" s="87" t="s">
        <v>130</v>
      </c>
      <c r="G70" s="95"/>
      <c r="I70">
        <f>IF(OR(ISNUMBER(SEARCH(Ref!$H64,Ref!$F$2)),ISNUMBER(SEARCH(Ref!$H64,Ref!$F$3)),ISNUMBER(SEARCH(Ref!$H64,Ref!$F$4)),ISNUMBER(SEARCH(Ref!$H64,Ref!$F$5)),ISNUMBER(SEARCH(Ref!$H64,Ref!$F$6)),ISNUMBER(SEARCH(Ref!$H64,Ref!$F$7)),ISNUMBER(SEARCH(Ref!$H64,Ref!$F$8))),"",1)</f>
        <v>1</v>
      </c>
    </row>
    <row r="71" spans="1:9" ht="48" hidden="1" customHeight="1" x14ac:dyDescent="0.25">
      <c r="A71" s="30"/>
      <c r="B71" s="94"/>
      <c r="C71" s="87" t="s">
        <v>94</v>
      </c>
      <c r="D71" s="87"/>
      <c r="E71" s="6"/>
      <c r="F71" s="87" t="s">
        <v>131</v>
      </c>
      <c r="G71" s="95"/>
      <c r="I71">
        <f>IF(OR(ISNUMBER(SEARCH(Ref!$H65,Ref!$F$2)),ISNUMBER(SEARCH(Ref!$H65,Ref!$F$3)),ISNUMBER(SEARCH(Ref!$H65,Ref!$F$4)),ISNUMBER(SEARCH(Ref!$H65,Ref!$F$5)),ISNUMBER(SEARCH(Ref!$H65,Ref!$F$6)),ISNUMBER(SEARCH(Ref!$H65,Ref!$F$7)),ISNUMBER(SEARCH(Ref!$H65,Ref!$F$8))),"",1)</f>
        <v>1</v>
      </c>
    </row>
    <row r="72" spans="1:9" ht="48" hidden="1" customHeight="1" x14ac:dyDescent="0.25">
      <c r="A72" s="30"/>
      <c r="B72" s="94"/>
      <c r="C72" s="87" t="s">
        <v>94</v>
      </c>
      <c r="D72" s="87"/>
      <c r="E72" s="6"/>
      <c r="F72" s="87" t="s">
        <v>132</v>
      </c>
      <c r="G72" s="95"/>
      <c r="I72">
        <f>IF(OR(ISNUMBER(SEARCH(Ref!$H66,Ref!$F$2)),ISNUMBER(SEARCH(Ref!$H66,Ref!$F$3)),ISNUMBER(SEARCH(Ref!$H66,Ref!$F$4)),ISNUMBER(SEARCH(Ref!$H66,Ref!$F$5)),ISNUMBER(SEARCH(Ref!$H66,Ref!$F$6)),ISNUMBER(SEARCH(Ref!$H66,Ref!$F$7)),ISNUMBER(SEARCH(Ref!$H66,Ref!$F$8))),"",1)</f>
        <v>1</v>
      </c>
    </row>
    <row r="73" spans="1:9" ht="48" hidden="1" customHeight="1" x14ac:dyDescent="0.25">
      <c r="A73" s="30"/>
      <c r="B73" s="94"/>
      <c r="C73" s="87" t="s">
        <v>94</v>
      </c>
      <c r="D73" s="87"/>
      <c r="E73" s="6"/>
      <c r="F73" s="87" t="s">
        <v>133</v>
      </c>
      <c r="G73" s="95"/>
      <c r="I73">
        <f>IF(OR(ISNUMBER(SEARCH(Ref!$H67,Ref!$F$2)),ISNUMBER(SEARCH(Ref!$H67,Ref!$F$3)),ISNUMBER(SEARCH(Ref!$H67,Ref!$F$4)),ISNUMBER(SEARCH(Ref!$H67,Ref!$F$5)),ISNUMBER(SEARCH(Ref!$H67,Ref!$F$6)),ISNUMBER(SEARCH(Ref!$H67,Ref!$F$7)),ISNUMBER(SEARCH(Ref!$H67,Ref!$F$8))),"",1)</f>
        <v>1</v>
      </c>
    </row>
    <row r="74" spans="1:9" ht="48" hidden="1" customHeight="1" x14ac:dyDescent="0.25">
      <c r="A74" s="30"/>
      <c r="B74" s="94"/>
      <c r="C74" s="87" t="s">
        <v>94</v>
      </c>
      <c r="D74" s="87"/>
      <c r="E74" s="6"/>
      <c r="F74" s="87" t="s">
        <v>134</v>
      </c>
      <c r="G74" s="95"/>
      <c r="I74">
        <f>IF(OR(ISNUMBER(SEARCH(Ref!$H68,Ref!$F$2)),ISNUMBER(SEARCH(Ref!$H68,Ref!$F$3)),ISNUMBER(SEARCH(Ref!$H68,Ref!$F$4)),ISNUMBER(SEARCH(Ref!$H68,Ref!$F$5)),ISNUMBER(SEARCH(Ref!$H68,Ref!$F$6)),ISNUMBER(SEARCH(Ref!$H68,Ref!$F$7)),ISNUMBER(SEARCH(Ref!$H68,Ref!$F$8))),"",1)</f>
        <v>1</v>
      </c>
    </row>
    <row r="75" spans="1:9" ht="48" hidden="1" customHeight="1" x14ac:dyDescent="0.25">
      <c r="A75" s="30"/>
      <c r="B75" s="94"/>
      <c r="C75" s="87" t="s">
        <v>94</v>
      </c>
      <c r="D75" s="87"/>
      <c r="E75" s="6"/>
      <c r="F75" s="87" t="s">
        <v>135</v>
      </c>
      <c r="G75" s="95"/>
      <c r="I75">
        <f>IF(OR(ISNUMBER(SEARCH(Ref!$H69,Ref!$F$2)),ISNUMBER(SEARCH(Ref!$H69,Ref!$F$3)),ISNUMBER(SEARCH(Ref!$H69,Ref!$F$4)),ISNUMBER(SEARCH(Ref!$H69,Ref!$F$5)),ISNUMBER(SEARCH(Ref!$H69,Ref!$F$6)),ISNUMBER(SEARCH(Ref!$H69,Ref!$F$7)),ISNUMBER(SEARCH(Ref!$H69,Ref!$F$8))),"",1)</f>
        <v>1</v>
      </c>
    </row>
    <row r="76" spans="1:9" ht="48" hidden="1" customHeight="1" x14ac:dyDescent="0.25">
      <c r="A76" s="30"/>
      <c r="B76" s="94"/>
      <c r="C76" s="87" t="s">
        <v>94</v>
      </c>
      <c r="D76" s="87"/>
      <c r="E76" s="6"/>
      <c r="F76" s="87" t="s">
        <v>136</v>
      </c>
      <c r="G76" s="95"/>
      <c r="I76">
        <f>IF(OR(ISNUMBER(SEARCH(Ref!$H70,Ref!$F$2)),ISNUMBER(SEARCH(Ref!$H70,Ref!$F$3)),ISNUMBER(SEARCH(Ref!$H70,Ref!$F$4)),ISNUMBER(SEARCH(Ref!$H70,Ref!$F$5)),ISNUMBER(SEARCH(Ref!$H70,Ref!$F$6)),ISNUMBER(SEARCH(Ref!$H70,Ref!$F$7)),ISNUMBER(SEARCH(Ref!$H70,Ref!$F$8))),"",1)</f>
        <v>1</v>
      </c>
    </row>
    <row r="77" spans="1:9" ht="48" hidden="1" customHeight="1" x14ac:dyDescent="0.25">
      <c r="A77" s="30"/>
      <c r="B77" s="94"/>
      <c r="C77" s="87" t="s">
        <v>94</v>
      </c>
      <c r="D77" s="87"/>
      <c r="E77" s="6"/>
      <c r="F77" s="87" t="s">
        <v>137</v>
      </c>
      <c r="G77" s="95"/>
      <c r="I77">
        <f>IF(OR(ISNUMBER(SEARCH(Ref!$H71,Ref!$F$2)),ISNUMBER(SEARCH(Ref!$H71,Ref!$F$3)),ISNUMBER(SEARCH(Ref!$H71,Ref!$F$4)),ISNUMBER(SEARCH(Ref!$H71,Ref!$F$5)),ISNUMBER(SEARCH(Ref!$H71,Ref!$F$6)),ISNUMBER(SEARCH(Ref!$H71,Ref!$F$7)),ISNUMBER(SEARCH(Ref!$H71,Ref!$F$8))),"",1)</f>
        <v>1</v>
      </c>
    </row>
    <row r="78" spans="1:9" ht="48" hidden="1" customHeight="1" x14ac:dyDescent="0.25">
      <c r="A78" s="30"/>
      <c r="B78" s="94"/>
      <c r="C78" s="87" t="s">
        <v>94</v>
      </c>
      <c r="D78" s="87"/>
      <c r="E78" s="6"/>
      <c r="F78" s="87" t="s">
        <v>138</v>
      </c>
      <c r="G78" s="95"/>
      <c r="I78">
        <f>IF(OR(ISNUMBER(SEARCH(Ref!$H72,Ref!$F$2)),ISNUMBER(SEARCH(Ref!$H72,Ref!$F$3)),ISNUMBER(SEARCH(Ref!$H72,Ref!$F$4)),ISNUMBER(SEARCH(Ref!$H72,Ref!$F$5)),ISNUMBER(SEARCH(Ref!$H72,Ref!$F$6)),ISNUMBER(SEARCH(Ref!$H72,Ref!$F$7)),ISNUMBER(SEARCH(Ref!$H72,Ref!$F$8))),"",1)</f>
        <v>1</v>
      </c>
    </row>
    <row r="79" spans="1:9" ht="48" hidden="1" customHeight="1" x14ac:dyDescent="0.25">
      <c r="A79" s="30"/>
      <c r="B79" s="94"/>
      <c r="C79" s="87" t="s">
        <v>94</v>
      </c>
      <c r="D79" s="87"/>
      <c r="E79" s="6"/>
      <c r="F79" s="87" t="s">
        <v>139</v>
      </c>
      <c r="G79" s="95"/>
      <c r="I79">
        <f>IF(OR(ISNUMBER(SEARCH(Ref!$H73,Ref!$F$2)),ISNUMBER(SEARCH(Ref!$H73,Ref!$F$3)),ISNUMBER(SEARCH(Ref!$H73,Ref!$F$4)),ISNUMBER(SEARCH(Ref!$H73,Ref!$F$5)),ISNUMBER(SEARCH(Ref!$H73,Ref!$F$6)),ISNUMBER(SEARCH(Ref!$H73,Ref!$F$7)),ISNUMBER(SEARCH(Ref!$H73,Ref!$F$8))),"",1)</f>
        <v>1</v>
      </c>
    </row>
    <row r="80" spans="1:9" ht="48" hidden="1" customHeight="1" x14ac:dyDescent="0.25">
      <c r="A80" s="30"/>
      <c r="B80" s="94"/>
      <c r="C80" s="87" t="s">
        <v>118</v>
      </c>
      <c r="D80" s="87"/>
      <c r="E80" s="6"/>
      <c r="F80" s="87" t="s">
        <v>121</v>
      </c>
      <c r="G80" s="95"/>
      <c r="I80">
        <f>IF(OR(ISNUMBER(SEARCH(Ref!$H74,Ref!$F$2)),ISNUMBER(SEARCH(Ref!$H74,Ref!$F$3)),ISNUMBER(SEARCH(Ref!$H74,Ref!$F$4)),ISNUMBER(SEARCH(Ref!$H74,Ref!$F$5)),ISNUMBER(SEARCH(Ref!$H74,Ref!$F$6)),ISNUMBER(SEARCH(Ref!$H74,Ref!$F$7)),ISNUMBER(SEARCH(Ref!$H74,Ref!$F$8))),"",1)</f>
        <v>1</v>
      </c>
    </row>
    <row r="81" spans="1:9" ht="48" hidden="1" customHeight="1" x14ac:dyDescent="0.25">
      <c r="A81" s="30"/>
      <c r="B81" s="94"/>
      <c r="C81" s="87" t="s">
        <v>118</v>
      </c>
      <c r="D81" s="87"/>
      <c r="E81" s="6"/>
      <c r="F81" s="87" t="s">
        <v>88</v>
      </c>
      <c r="G81" s="95"/>
      <c r="I81">
        <f>IF(OR(ISNUMBER(SEARCH(Ref!$H75,Ref!$F$2)),ISNUMBER(SEARCH(Ref!$H75,Ref!$F$3)),ISNUMBER(SEARCH(Ref!$H75,Ref!$F$4)),ISNUMBER(SEARCH(Ref!$H75,Ref!$F$5)),ISNUMBER(SEARCH(Ref!$H75,Ref!$F$6)),ISNUMBER(SEARCH(Ref!$H75,Ref!$F$7)),ISNUMBER(SEARCH(Ref!$H75,Ref!$F$8))),"",1)</f>
        <v>1</v>
      </c>
    </row>
    <row r="82" spans="1:9" ht="48" hidden="1" customHeight="1" x14ac:dyDescent="0.25">
      <c r="A82" s="30"/>
      <c r="B82" s="94"/>
      <c r="C82" s="87" t="s">
        <v>118</v>
      </c>
      <c r="D82" s="87"/>
      <c r="E82" s="6"/>
      <c r="F82" s="87" t="s">
        <v>122</v>
      </c>
      <c r="G82" s="95"/>
      <c r="I82">
        <f>IF(OR(ISNUMBER(SEARCH(Ref!$H76,Ref!$F$2)),ISNUMBER(SEARCH(Ref!$H76,Ref!$F$3)),ISNUMBER(SEARCH(Ref!$H76,Ref!$F$4)),ISNUMBER(SEARCH(Ref!$H76,Ref!$F$5)),ISNUMBER(SEARCH(Ref!$H76,Ref!$F$6)),ISNUMBER(SEARCH(Ref!$H76,Ref!$F$7)),ISNUMBER(SEARCH(Ref!$H76,Ref!$F$8))),"",1)</f>
        <v>1</v>
      </c>
    </row>
    <row r="83" spans="1:9" ht="48" hidden="1" customHeight="1" x14ac:dyDescent="0.25">
      <c r="A83" s="30"/>
      <c r="B83" s="94"/>
      <c r="C83" s="87" t="s">
        <v>118</v>
      </c>
      <c r="D83" s="87"/>
      <c r="E83" s="6"/>
      <c r="F83" s="87" t="s">
        <v>123</v>
      </c>
      <c r="G83" s="95"/>
      <c r="I83">
        <f>IF(OR(ISNUMBER(SEARCH(Ref!$H77,Ref!$F$2)),ISNUMBER(SEARCH(Ref!$H77,Ref!$F$3)),ISNUMBER(SEARCH(Ref!$H77,Ref!$F$4)),ISNUMBER(SEARCH(Ref!$H77,Ref!$F$5)),ISNUMBER(SEARCH(Ref!$H77,Ref!$F$6)),ISNUMBER(SEARCH(Ref!$H77,Ref!$F$7)),ISNUMBER(SEARCH(Ref!$H77,Ref!$F$8))),"",1)</f>
        <v>1</v>
      </c>
    </row>
    <row r="84" spans="1:9" ht="48" hidden="1" customHeight="1" x14ac:dyDescent="0.25">
      <c r="A84" s="30"/>
      <c r="B84" s="94"/>
      <c r="C84" s="87" t="s">
        <v>118</v>
      </c>
      <c r="D84" s="87"/>
      <c r="E84" s="6"/>
      <c r="F84" s="87" t="s">
        <v>124</v>
      </c>
      <c r="G84" s="95"/>
      <c r="I84">
        <f>IF(OR(ISNUMBER(SEARCH(Ref!$H78,Ref!$F$2)),ISNUMBER(SEARCH(Ref!$H78,Ref!$F$3)),ISNUMBER(SEARCH(Ref!$H78,Ref!$F$4)),ISNUMBER(SEARCH(Ref!$H78,Ref!$F$5)),ISNUMBER(SEARCH(Ref!$H78,Ref!$F$6)),ISNUMBER(SEARCH(Ref!$H78,Ref!$F$7)),ISNUMBER(SEARCH(Ref!$H78,Ref!$F$8))),"",1)</f>
        <v>1</v>
      </c>
    </row>
    <row r="85" spans="1:9" ht="48" hidden="1" customHeight="1" x14ac:dyDescent="0.25">
      <c r="A85" s="30"/>
      <c r="B85" s="94"/>
      <c r="C85" s="87" t="s">
        <v>118</v>
      </c>
      <c r="D85" s="87"/>
      <c r="E85" s="6"/>
      <c r="F85" s="87" t="s">
        <v>95</v>
      </c>
      <c r="G85" s="95"/>
      <c r="I85">
        <f>IF(OR(ISNUMBER(SEARCH(Ref!$H79,Ref!$F$2)),ISNUMBER(SEARCH(Ref!$H79,Ref!$F$3)),ISNUMBER(SEARCH(Ref!$H79,Ref!$F$4)),ISNUMBER(SEARCH(Ref!$H79,Ref!$F$5)),ISNUMBER(SEARCH(Ref!$H79,Ref!$F$6)),ISNUMBER(SEARCH(Ref!$H79,Ref!$F$7)),ISNUMBER(SEARCH(Ref!$H79,Ref!$F$8))),"",1)</f>
        <v>1</v>
      </c>
    </row>
    <row r="86" spans="1:9" ht="48" hidden="1" customHeight="1" x14ac:dyDescent="0.25">
      <c r="A86" s="30"/>
      <c r="B86" s="94"/>
      <c r="C86" s="87" t="s">
        <v>118</v>
      </c>
      <c r="D86" s="87"/>
      <c r="E86" s="6"/>
      <c r="F86" s="87" t="s">
        <v>125</v>
      </c>
      <c r="G86" s="95"/>
      <c r="I86">
        <f>IF(OR(ISNUMBER(SEARCH(Ref!$H80,Ref!$F$2)),ISNUMBER(SEARCH(Ref!$H80,Ref!$F$3)),ISNUMBER(SEARCH(Ref!$H80,Ref!$F$4)),ISNUMBER(SEARCH(Ref!$H80,Ref!$F$5)),ISNUMBER(SEARCH(Ref!$H80,Ref!$F$6)),ISNUMBER(SEARCH(Ref!$H80,Ref!$F$7)),ISNUMBER(SEARCH(Ref!$H80,Ref!$F$8))),"",1)</f>
        <v>1</v>
      </c>
    </row>
    <row r="87" spans="1:9" ht="48" hidden="1" customHeight="1" x14ac:dyDescent="0.25">
      <c r="A87" s="30"/>
      <c r="B87" s="94"/>
      <c r="C87" s="87" t="s">
        <v>118</v>
      </c>
      <c r="D87" s="87"/>
      <c r="E87" s="6"/>
      <c r="F87" s="87" t="s">
        <v>126</v>
      </c>
      <c r="G87" s="95"/>
      <c r="I87">
        <f>IF(OR(ISNUMBER(SEARCH(Ref!$H81,Ref!$F$2)),ISNUMBER(SEARCH(Ref!$H81,Ref!$F$3)),ISNUMBER(SEARCH(Ref!$H81,Ref!$F$4)),ISNUMBER(SEARCH(Ref!$H81,Ref!$F$5)),ISNUMBER(SEARCH(Ref!$H81,Ref!$F$6)),ISNUMBER(SEARCH(Ref!$H81,Ref!$F$7)),ISNUMBER(SEARCH(Ref!$H81,Ref!$F$8))),"",1)</f>
        <v>1</v>
      </c>
    </row>
    <row r="88" spans="1:9" ht="48" hidden="1" customHeight="1" x14ac:dyDescent="0.25">
      <c r="A88" s="30"/>
      <c r="B88" s="94"/>
      <c r="C88" s="87" t="s">
        <v>118</v>
      </c>
      <c r="D88" s="87"/>
      <c r="E88" s="6"/>
      <c r="F88" s="87" t="s">
        <v>127</v>
      </c>
      <c r="G88" s="95"/>
      <c r="I88">
        <f>IF(OR(ISNUMBER(SEARCH(Ref!$H82,Ref!$F$2)),ISNUMBER(SEARCH(Ref!$H82,Ref!$F$3)),ISNUMBER(SEARCH(Ref!$H82,Ref!$F$4)),ISNUMBER(SEARCH(Ref!$H82,Ref!$F$5)),ISNUMBER(SEARCH(Ref!$H82,Ref!$F$6)),ISNUMBER(SEARCH(Ref!$H82,Ref!$F$7)),ISNUMBER(SEARCH(Ref!$H82,Ref!$F$8))),"",1)</f>
        <v>1</v>
      </c>
    </row>
    <row r="89" spans="1:9" ht="48" hidden="1" customHeight="1" x14ac:dyDescent="0.25">
      <c r="A89" s="30"/>
      <c r="B89" s="94"/>
      <c r="C89" s="87" t="s">
        <v>118</v>
      </c>
      <c r="D89" s="87"/>
      <c r="E89" s="6"/>
      <c r="F89" s="87" t="s">
        <v>128</v>
      </c>
      <c r="G89" s="95"/>
      <c r="I89">
        <f>IF(OR(ISNUMBER(SEARCH(Ref!$H83,Ref!$F$2)),ISNUMBER(SEARCH(Ref!$H83,Ref!$F$3)),ISNUMBER(SEARCH(Ref!$H83,Ref!$F$4)),ISNUMBER(SEARCH(Ref!$H83,Ref!$F$5)),ISNUMBER(SEARCH(Ref!$H83,Ref!$F$6)),ISNUMBER(SEARCH(Ref!$H83,Ref!$F$7)),ISNUMBER(SEARCH(Ref!$H83,Ref!$F$8))),"",1)</f>
        <v>1</v>
      </c>
    </row>
    <row r="90" spans="1:9" ht="48" hidden="1" customHeight="1" x14ac:dyDescent="0.25">
      <c r="A90" s="30"/>
      <c r="B90" s="94"/>
      <c r="C90" s="87" t="s">
        <v>118</v>
      </c>
      <c r="D90" s="87"/>
      <c r="E90" s="6"/>
      <c r="F90" s="87" t="s">
        <v>129</v>
      </c>
      <c r="G90" s="95"/>
      <c r="I90">
        <f>IF(OR(ISNUMBER(SEARCH(Ref!$H84,Ref!$F$2)),ISNUMBER(SEARCH(Ref!$H84,Ref!$F$3)),ISNUMBER(SEARCH(Ref!$H84,Ref!$F$4)),ISNUMBER(SEARCH(Ref!$H84,Ref!$F$5)),ISNUMBER(SEARCH(Ref!$H84,Ref!$F$6)),ISNUMBER(SEARCH(Ref!$H84,Ref!$F$7)),ISNUMBER(SEARCH(Ref!$H84,Ref!$F$8))),"",1)</f>
        <v>1</v>
      </c>
    </row>
    <row r="91" spans="1:9" ht="48" hidden="1" customHeight="1" x14ac:dyDescent="0.25">
      <c r="A91" s="30"/>
      <c r="B91" s="94"/>
      <c r="C91" s="87" t="s">
        <v>118</v>
      </c>
      <c r="D91" s="87"/>
      <c r="E91" s="6"/>
      <c r="F91" s="87" t="s">
        <v>130</v>
      </c>
      <c r="G91" s="95"/>
      <c r="I91">
        <f>IF(OR(ISNUMBER(SEARCH(Ref!$H85,Ref!$F$2)),ISNUMBER(SEARCH(Ref!$H85,Ref!$F$3)),ISNUMBER(SEARCH(Ref!$H85,Ref!$F$4)),ISNUMBER(SEARCH(Ref!$H85,Ref!$F$5)),ISNUMBER(SEARCH(Ref!$H85,Ref!$F$6)),ISNUMBER(SEARCH(Ref!$H85,Ref!$F$7)),ISNUMBER(SEARCH(Ref!$H85,Ref!$F$8))),"",1)</f>
        <v>1</v>
      </c>
    </row>
    <row r="92" spans="1:9" ht="48" hidden="1" customHeight="1" x14ac:dyDescent="0.25">
      <c r="A92" s="30"/>
      <c r="B92" s="94"/>
      <c r="C92" s="87" t="s">
        <v>118</v>
      </c>
      <c r="D92" s="87"/>
      <c r="E92" s="6"/>
      <c r="F92" s="87" t="s">
        <v>131</v>
      </c>
      <c r="G92" s="95"/>
      <c r="I92">
        <f>IF(OR(ISNUMBER(SEARCH(Ref!$H86,Ref!$F$2)),ISNUMBER(SEARCH(Ref!$H86,Ref!$F$3)),ISNUMBER(SEARCH(Ref!$H86,Ref!$F$4)),ISNUMBER(SEARCH(Ref!$H86,Ref!$F$5)),ISNUMBER(SEARCH(Ref!$H86,Ref!$F$6)),ISNUMBER(SEARCH(Ref!$H86,Ref!$F$7)),ISNUMBER(SEARCH(Ref!$H86,Ref!$F$8))),"",1)</f>
        <v>1</v>
      </c>
    </row>
    <row r="93" spans="1:9" ht="48" hidden="1" customHeight="1" x14ac:dyDescent="0.25">
      <c r="A93" s="30"/>
      <c r="B93" s="94"/>
      <c r="C93" s="87" t="s">
        <v>118</v>
      </c>
      <c r="D93" s="87"/>
      <c r="E93" s="6"/>
      <c r="F93" s="87" t="s">
        <v>132</v>
      </c>
      <c r="G93" s="95"/>
      <c r="I93">
        <f>IF(OR(ISNUMBER(SEARCH(Ref!$H87,Ref!$F$2)),ISNUMBER(SEARCH(Ref!$H87,Ref!$F$3)),ISNUMBER(SEARCH(Ref!$H87,Ref!$F$4)),ISNUMBER(SEARCH(Ref!$H87,Ref!$F$5)),ISNUMBER(SEARCH(Ref!$H87,Ref!$F$6)),ISNUMBER(SEARCH(Ref!$H87,Ref!$F$7)),ISNUMBER(SEARCH(Ref!$H87,Ref!$F$8))),"",1)</f>
        <v>1</v>
      </c>
    </row>
    <row r="94" spans="1:9" ht="48" hidden="1" customHeight="1" x14ac:dyDescent="0.25">
      <c r="A94" s="30"/>
      <c r="B94" s="94"/>
      <c r="C94" s="87" t="s">
        <v>118</v>
      </c>
      <c r="D94" s="87"/>
      <c r="E94" s="6"/>
      <c r="F94" s="87" t="s">
        <v>133</v>
      </c>
      <c r="G94" s="95"/>
      <c r="I94">
        <f>IF(OR(ISNUMBER(SEARCH(Ref!$H88,Ref!$F$2)),ISNUMBER(SEARCH(Ref!$H88,Ref!$F$3)),ISNUMBER(SEARCH(Ref!$H88,Ref!$F$4)),ISNUMBER(SEARCH(Ref!$H88,Ref!$F$5)),ISNUMBER(SEARCH(Ref!$H88,Ref!$F$6)),ISNUMBER(SEARCH(Ref!$H88,Ref!$F$7)),ISNUMBER(SEARCH(Ref!$H88,Ref!$F$8))),"",1)</f>
        <v>1</v>
      </c>
    </row>
    <row r="95" spans="1:9" ht="48" hidden="1" customHeight="1" x14ac:dyDescent="0.25">
      <c r="A95" s="30"/>
      <c r="B95" s="94"/>
      <c r="C95" s="87" t="s">
        <v>118</v>
      </c>
      <c r="D95" s="87"/>
      <c r="E95" s="6"/>
      <c r="F95" s="87" t="s">
        <v>134</v>
      </c>
      <c r="G95" s="95"/>
      <c r="I95">
        <f>IF(OR(ISNUMBER(SEARCH(Ref!$H89,Ref!$F$2)),ISNUMBER(SEARCH(Ref!$H89,Ref!$F$3)),ISNUMBER(SEARCH(Ref!$H89,Ref!$F$4)),ISNUMBER(SEARCH(Ref!$H89,Ref!$F$5)),ISNUMBER(SEARCH(Ref!$H89,Ref!$F$6)),ISNUMBER(SEARCH(Ref!$H89,Ref!$F$7)),ISNUMBER(SEARCH(Ref!$H89,Ref!$F$8))),"",1)</f>
        <v>1</v>
      </c>
    </row>
    <row r="96" spans="1:9" ht="48" hidden="1" customHeight="1" x14ac:dyDescent="0.25">
      <c r="A96" s="30"/>
      <c r="B96" s="94"/>
      <c r="C96" s="87" t="s">
        <v>118</v>
      </c>
      <c r="D96" s="87"/>
      <c r="E96" s="6"/>
      <c r="F96" s="87" t="s">
        <v>135</v>
      </c>
      <c r="G96" s="95"/>
      <c r="I96">
        <f>IF(OR(ISNUMBER(SEARCH(Ref!$H90,Ref!$F$2)),ISNUMBER(SEARCH(Ref!$H90,Ref!$F$3)),ISNUMBER(SEARCH(Ref!$H90,Ref!$F$4)),ISNUMBER(SEARCH(Ref!$H90,Ref!$F$5)),ISNUMBER(SEARCH(Ref!$H90,Ref!$F$6)),ISNUMBER(SEARCH(Ref!$H90,Ref!$F$7)),ISNUMBER(SEARCH(Ref!$H90,Ref!$F$8))),"",1)</f>
        <v>1</v>
      </c>
    </row>
    <row r="97" spans="1:9" ht="48" hidden="1" customHeight="1" x14ac:dyDescent="0.25">
      <c r="A97" s="30"/>
      <c r="B97" s="94"/>
      <c r="C97" s="87" t="s">
        <v>118</v>
      </c>
      <c r="D97" s="87"/>
      <c r="E97" s="6"/>
      <c r="F97" s="87" t="s">
        <v>136</v>
      </c>
      <c r="G97" s="95"/>
      <c r="I97">
        <f>IF(OR(ISNUMBER(SEARCH(Ref!$H91,Ref!$F$2)),ISNUMBER(SEARCH(Ref!$H91,Ref!$F$3)),ISNUMBER(SEARCH(Ref!$H91,Ref!$F$4)),ISNUMBER(SEARCH(Ref!$H91,Ref!$F$5)),ISNUMBER(SEARCH(Ref!$H91,Ref!$F$6)),ISNUMBER(SEARCH(Ref!$H91,Ref!$F$7)),ISNUMBER(SEARCH(Ref!$H91,Ref!$F$8))),"",1)</f>
        <v>1</v>
      </c>
    </row>
    <row r="98" spans="1:9" ht="48" hidden="1" customHeight="1" x14ac:dyDescent="0.25">
      <c r="A98" s="30"/>
      <c r="B98" s="94"/>
      <c r="C98" s="87" t="s">
        <v>118</v>
      </c>
      <c r="D98" s="87"/>
      <c r="E98" s="6"/>
      <c r="F98" s="87" t="s">
        <v>137</v>
      </c>
      <c r="G98" s="95"/>
      <c r="I98">
        <f>IF(OR(ISNUMBER(SEARCH(Ref!$H92,Ref!$F$2)),ISNUMBER(SEARCH(Ref!$H92,Ref!$F$3)),ISNUMBER(SEARCH(Ref!$H92,Ref!$F$4)),ISNUMBER(SEARCH(Ref!$H92,Ref!$F$5)),ISNUMBER(SEARCH(Ref!$H92,Ref!$F$6)),ISNUMBER(SEARCH(Ref!$H92,Ref!$F$7)),ISNUMBER(SEARCH(Ref!$H92,Ref!$F$8))),"",1)</f>
        <v>1</v>
      </c>
    </row>
    <row r="99" spans="1:9" ht="48" hidden="1" customHeight="1" x14ac:dyDescent="0.25">
      <c r="A99" s="30"/>
      <c r="B99" s="94"/>
      <c r="C99" s="87" t="s">
        <v>118</v>
      </c>
      <c r="D99" s="87"/>
      <c r="E99" s="6"/>
      <c r="F99" s="87" t="s">
        <v>138</v>
      </c>
      <c r="G99" s="95"/>
      <c r="I99">
        <f>IF(OR(ISNUMBER(SEARCH(Ref!$H93,Ref!$F$2)),ISNUMBER(SEARCH(Ref!$H93,Ref!$F$3)),ISNUMBER(SEARCH(Ref!$H93,Ref!$F$4)),ISNUMBER(SEARCH(Ref!$H93,Ref!$F$5)),ISNUMBER(SEARCH(Ref!$H93,Ref!$F$6)),ISNUMBER(SEARCH(Ref!$H93,Ref!$F$7)),ISNUMBER(SEARCH(Ref!$H93,Ref!$F$8))),"",1)</f>
        <v>1</v>
      </c>
    </row>
    <row r="100" spans="1:9" ht="48" hidden="1" customHeight="1" x14ac:dyDescent="0.25">
      <c r="A100" s="30"/>
      <c r="B100" s="94"/>
      <c r="C100" s="87" t="s">
        <v>118</v>
      </c>
      <c r="D100" s="87"/>
      <c r="E100" s="6"/>
      <c r="F100" s="87" t="s">
        <v>139</v>
      </c>
      <c r="G100" s="95"/>
      <c r="I100">
        <f>IF(OR(ISNUMBER(SEARCH(Ref!$H94,Ref!$F$2)),ISNUMBER(SEARCH(Ref!$H94,Ref!$F$3)),ISNUMBER(SEARCH(Ref!$H94,Ref!$F$4)),ISNUMBER(SEARCH(Ref!$H94,Ref!$F$5)),ISNUMBER(SEARCH(Ref!$H94,Ref!$F$6)),ISNUMBER(SEARCH(Ref!$H94,Ref!$F$7)),ISNUMBER(SEARCH(Ref!$H94,Ref!$F$8))),"",1)</f>
        <v>1</v>
      </c>
    </row>
    <row r="101" spans="1:9" ht="48" hidden="1" customHeight="1" x14ac:dyDescent="0.25">
      <c r="A101" s="30"/>
      <c r="B101" s="94"/>
      <c r="C101" s="87" t="s">
        <v>119</v>
      </c>
      <c r="D101" s="87"/>
      <c r="E101" s="6"/>
      <c r="F101" s="87" t="s">
        <v>121</v>
      </c>
      <c r="G101" s="95"/>
      <c r="I101">
        <f>IF(OR(ISNUMBER(SEARCH(Ref!$H95,Ref!$F$2)),ISNUMBER(SEARCH(Ref!$H95,Ref!$F$3)),ISNUMBER(SEARCH(Ref!$H95,Ref!$F$4)),ISNUMBER(SEARCH(Ref!$H95,Ref!$F$5)),ISNUMBER(SEARCH(Ref!$H95,Ref!$F$6)),ISNUMBER(SEARCH(Ref!$H95,Ref!$F$7)),ISNUMBER(SEARCH(Ref!$H95,Ref!$F$8))),"",1)</f>
        <v>1</v>
      </c>
    </row>
    <row r="102" spans="1:9" ht="48" hidden="1" customHeight="1" x14ac:dyDescent="0.25">
      <c r="A102" s="30"/>
      <c r="B102" s="94"/>
      <c r="C102" s="87" t="s">
        <v>119</v>
      </c>
      <c r="D102" s="87"/>
      <c r="E102" s="6"/>
      <c r="F102" s="87" t="s">
        <v>88</v>
      </c>
      <c r="G102" s="95"/>
      <c r="I102">
        <f>IF(OR(ISNUMBER(SEARCH(Ref!$H96,Ref!$F$2)),ISNUMBER(SEARCH(Ref!$H96,Ref!$F$3)),ISNUMBER(SEARCH(Ref!$H96,Ref!$F$4)),ISNUMBER(SEARCH(Ref!$H96,Ref!$F$5)),ISNUMBER(SEARCH(Ref!$H96,Ref!$F$6)),ISNUMBER(SEARCH(Ref!$H96,Ref!$F$7)),ISNUMBER(SEARCH(Ref!$H96,Ref!$F$8))),"",1)</f>
        <v>1</v>
      </c>
    </row>
    <row r="103" spans="1:9" ht="48" hidden="1" customHeight="1" x14ac:dyDescent="0.25">
      <c r="A103" s="30"/>
      <c r="B103" s="94"/>
      <c r="C103" s="87" t="s">
        <v>119</v>
      </c>
      <c r="D103" s="87"/>
      <c r="E103" s="6"/>
      <c r="F103" s="87" t="s">
        <v>122</v>
      </c>
      <c r="G103" s="95"/>
      <c r="I103">
        <f>IF(OR(ISNUMBER(SEARCH(Ref!$H97,Ref!$F$2)),ISNUMBER(SEARCH(Ref!$H97,Ref!$F$3)),ISNUMBER(SEARCH(Ref!$H97,Ref!$F$4)),ISNUMBER(SEARCH(Ref!$H97,Ref!$F$5)),ISNUMBER(SEARCH(Ref!$H97,Ref!$F$6)),ISNUMBER(SEARCH(Ref!$H97,Ref!$F$7)),ISNUMBER(SEARCH(Ref!$H97,Ref!$F$8))),"",1)</f>
        <v>1</v>
      </c>
    </row>
    <row r="104" spans="1:9" ht="48" hidden="1" customHeight="1" x14ac:dyDescent="0.25">
      <c r="A104" s="30"/>
      <c r="B104" s="94"/>
      <c r="C104" s="87" t="s">
        <v>119</v>
      </c>
      <c r="D104" s="87"/>
      <c r="E104" s="6"/>
      <c r="F104" s="87" t="s">
        <v>123</v>
      </c>
      <c r="G104" s="95"/>
      <c r="I104">
        <f>IF(OR(ISNUMBER(SEARCH(Ref!$H98,Ref!$F$2)),ISNUMBER(SEARCH(Ref!$H98,Ref!$F$3)),ISNUMBER(SEARCH(Ref!$H98,Ref!$F$4)),ISNUMBER(SEARCH(Ref!$H98,Ref!$F$5)),ISNUMBER(SEARCH(Ref!$H98,Ref!$F$6)),ISNUMBER(SEARCH(Ref!$H98,Ref!$F$7)),ISNUMBER(SEARCH(Ref!$H98,Ref!$F$8))),"",1)</f>
        <v>1</v>
      </c>
    </row>
    <row r="105" spans="1:9" ht="48" hidden="1" customHeight="1" x14ac:dyDescent="0.25">
      <c r="A105" s="30"/>
      <c r="B105" s="94"/>
      <c r="C105" s="87" t="s">
        <v>119</v>
      </c>
      <c r="D105" s="87"/>
      <c r="E105" s="6"/>
      <c r="F105" s="87" t="s">
        <v>124</v>
      </c>
      <c r="G105" s="95"/>
      <c r="I105">
        <f>IF(OR(ISNUMBER(SEARCH(Ref!$H99,Ref!$F$2)),ISNUMBER(SEARCH(Ref!$H99,Ref!$F$3)),ISNUMBER(SEARCH(Ref!$H99,Ref!$F$4)),ISNUMBER(SEARCH(Ref!$H99,Ref!$F$5)),ISNUMBER(SEARCH(Ref!$H99,Ref!$F$6)),ISNUMBER(SEARCH(Ref!$H99,Ref!$F$7)),ISNUMBER(SEARCH(Ref!$H99,Ref!$F$8))),"",1)</f>
        <v>1</v>
      </c>
    </row>
    <row r="106" spans="1:9" ht="48" hidden="1" customHeight="1" x14ac:dyDescent="0.25">
      <c r="A106" s="30"/>
      <c r="B106" s="94"/>
      <c r="C106" s="87" t="s">
        <v>119</v>
      </c>
      <c r="D106" s="87"/>
      <c r="E106" s="6"/>
      <c r="F106" s="87" t="s">
        <v>95</v>
      </c>
      <c r="G106" s="95"/>
      <c r="I106">
        <f>IF(OR(ISNUMBER(SEARCH(Ref!$H100,Ref!$F$2)),ISNUMBER(SEARCH(Ref!$H100,Ref!$F$3)),ISNUMBER(SEARCH(Ref!$H100,Ref!$F$4)),ISNUMBER(SEARCH(Ref!$H100,Ref!$F$5)),ISNUMBER(SEARCH(Ref!$H100,Ref!$F$6)),ISNUMBER(SEARCH(Ref!$H100,Ref!$F$7)),ISNUMBER(SEARCH(Ref!$H100,Ref!$F$8))),"",1)</f>
        <v>1</v>
      </c>
    </row>
    <row r="107" spans="1:9" ht="48" hidden="1" customHeight="1" x14ac:dyDescent="0.25">
      <c r="A107" s="30"/>
      <c r="B107" s="94"/>
      <c r="C107" s="87" t="s">
        <v>119</v>
      </c>
      <c r="D107" s="87"/>
      <c r="E107" s="6"/>
      <c r="F107" s="87" t="s">
        <v>125</v>
      </c>
      <c r="G107" s="95"/>
      <c r="I107">
        <f>IF(OR(ISNUMBER(SEARCH(Ref!$H101,Ref!$F$2)),ISNUMBER(SEARCH(Ref!$H101,Ref!$F$3)),ISNUMBER(SEARCH(Ref!$H101,Ref!$F$4)),ISNUMBER(SEARCH(Ref!$H101,Ref!$F$5)),ISNUMBER(SEARCH(Ref!$H101,Ref!$F$6)),ISNUMBER(SEARCH(Ref!$H101,Ref!$F$7)),ISNUMBER(SEARCH(Ref!$H101,Ref!$F$8))),"",1)</f>
        <v>1</v>
      </c>
    </row>
    <row r="108" spans="1:9" ht="48" hidden="1" customHeight="1" x14ac:dyDescent="0.25">
      <c r="A108" s="30"/>
      <c r="B108" s="94"/>
      <c r="C108" s="87" t="s">
        <v>119</v>
      </c>
      <c r="D108" s="87"/>
      <c r="E108" s="6"/>
      <c r="F108" s="87" t="s">
        <v>126</v>
      </c>
      <c r="G108" s="95"/>
      <c r="I108">
        <f>IF(OR(ISNUMBER(SEARCH(Ref!$H102,Ref!$F$2)),ISNUMBER(SEARCH(Ref!$H102,Ref!$F$3)),ISNUMBER(SEARCH(Ref!$H102,Ref!$F$4)),ISNUMBER(SEARCH(Ref!$H102,Ref!$F$5)),ISNUMBER(SEARCH(Ref!$H102,Ref!$F$6)),ISNUMBER(SEARCH(Ref!$H102,Ref!$F$7)),ISNUMBER(SEARCH(Ref!$H102,Ref!$F$8))),"",1)</f>
        <v>1</v>
      </c>
    </row>
    <row r="109" spans="1:9" ht="48" hidden="1" customHeight="1" x14ac:dyDescent="0.25">
      <c r="A109" s="30"/>
      <c r="B109" s="94"/>
      <c r="C109" s="87" t="s">
        <v>119</v>
      </c>
      <c r="D109" s="87"/>
      <c r="E109" s="6"/>
      <c r="F109" s="87" t="s">
        <v>127</v>
      </c>
      <c r="G109" s="95"/>
      <c r="I109">
        <f>IF(OR(ISNUMBER(SEARCH(Ref!$H103,Ref!$F$2)),ISNUMBER(SEARCH(Ref!$H103,Ref!$F$3)),ISNUMBER(SEARCH(Ref!$H103,Ref!$F$4)),ISNUMBER(SEARCH(Ref!$H103,Ref!$F$5)),ISNUMBER(SEARCH(Ref!$H103,Ref!$F$6)),ISNUMBER(SEARCH(Ref!$H103,Ref!$F$7)),ISNUMBER(SEARCH(Ref!$H103,Ref!$F$8))),"",1)</f>
        <v>1</v>
      </c>
    </row>
    <row r="110" spans="1:9" ht="48" hidden="1" customHeight="1" x14ac:dyDescent="0.25">
      <c r="A110" s="30"/>
      <c r="B110" s="94"/>
      <c r="C110" s="87" t="s">
        <v>119</v>
      </c>
      <c r="D110" s="87"/>
      <c r="E110" s="6"/>
      <c r="F110" s="87" t="s">
        <v>128</v>
      </c>
      <c r="G110" s="95"/>
      <c r="I110">
        <f>IF(OR(ISNUMBER(SEARCH(Ref!$H104,Ref!$F$2)),ISNUMBER(SEARCH(Ref!$H104,Ref!$F$3)),ISNUMBER(SEARCH(Ref!$H104,Ref!$F$4)),ISNUMBER(SEARCH(Ref!$H104,Ref!$F$5)),ISNUMBER(SEARCH(Ref!$H104,Ref!$F$6)),ISNUMBER(SEARCH(Ref!$H104,Ref!$F$7)),ISNUMBER(SEARCH(Ref!$H104,Ref!$F$8))),"",1)</f>
        <v>1</v>
      </c>
    </row>
    <row r="111" spans="1:9" ht="48" hidden="1" customHeight="1" x14ac:dyDescent="0.25">
      <c r="A111" s="30"/>
      <c r="B111" s="94"/>
      <c r="C111" s="87" t="s">
        <v>119</v>
      </c>
      <c r="D111" s="87"/>
      <c r="E111" s="6"/>
      <c r="F111" s="87" t="s">
        <v>129</v>
      </c>
      <c r="G111" s="95"/>
      <c r="I111">
        <f>IF(OR(ISNUMBER(SEARCH(Ref!$H105,Ref!$F$2)),ISNUMBER(SEARCH(Ref!$H105,Ref!$F$3)),ISNUMBER(SEARCH(Ref!$H105,Ref!$F$4)),ISNUMBER(SEARCH(Ref!$H105,Ref!$F$5)),ISNUMBER(SEARCH(Ref!$H105,Ref!$F$6)),ISNUMBER(SEARCH(Ref!$H105,Ref!$F$7)),ISNUMBER(SEARCH(Ref!$H105,Ref!$F$8))),"",1)</f>
        <v>1</v>
      </c>
    </row>
    <row r="112" spans="1:9" ht="48" hidden="1" customHeight="1" x14ac:dyDescent="0.25">
      <c r="A112" s="30"/>
      <c r="B112" s="94"/>
      <c r="C112" s="87" t="s">
        <v>119</v>
      </c>
      <c r="D112" s="87"/>
      <c r="E112" s="6"/>
      <c r="F112" s="87" t="s">
        <v>130</v>
      </c>
      <c r="G112" s="95"/>
      <c r="I112">
        <f>IF(OR(ISNUMBER(SEARCH(Ref!$H106,Ref!$F$2)),ISNUMBER(SEARCH(Ref!$H106,Ref!$F$3)),ISNUMBER(SEARCH(Ref!$H106,Ref!$F$4)),ISNUMBER(SEARCH(Ref!$H106,Ref!$F$5)),ISNUMBER(SEARCH(Ref!$H106,Ref!$F$6)),ISNUMBER(SEARCH(Ref!$H106,Ref!$F$7)),ISNUMBER(SEARCH(Ref!$H106,Ref!$F$8))),"",1)</f>
        <v>1</v>
      </c>
    </row>
    <row r="113" spans="1:9" ht="48" hidden="1" customHeight="1" x14ac:dyDescent="0.25">
      <c r="A113" s="30"/>
      <c r="B113" s="94"/>
      <c r="C113" s="87" t="s">
        <v>119</v>
      </c>
      <c r="D113" s="87"/>
      <c r="E113" s="6"/>
      <c r="F113" s="87" t="s">
        <v>131</v>
      </c>
      <c r="G113" s="95"/>
      <c r="I113">
        <f>IF(OR(ISNUMBER(SEARCH(Ref!$H107,Ref!$F$2)),ISNUMBER(SEARCH(Ref!$H107,Ref!$F$3)),ISNUMBER(SEARCH(Ref!$H107,Ref!$F$4)),ISNUMBER(SEARCH(Ref!$H107,Ref!$F$5)),ISNUMBER(SEARCH(Ref!$H107,Ref!$F$6)),ISNUMBER(SEARCH(Ref!$H107,Ref!$F$7)),ISNUMBER(SEARCH(Ref!$H107,Ref!$F$8))),"",1)</f>
        <v>1</v>
      </c>
    </row>
    <row r="114" spans="1:9" ht="48" hidden="1" customHeight="1" x14ac:dyDescent="0.25">
      <c r="A114" s="30"/>
      <c r="B114" s="94"/>
      <c r="C114" s="87" t="s">
        <v>119</v>
      </c>
      <c r="D114" s="87"/>
      <c r="E114" s="6"/>
      <c r="F114" s="87" t="s">
        <v>132</v>
      </c>
      <c r="G114" s="95"/>
      <c r="I114">
        <f>IF(OR(ISNUMBER(SEARCH(Ref!$H108,Ref!$F$2)),ISNUMBER(SEARCH(Ref!$H108,Ref!$F$3)),ISNUMBER(SEARCH(Ref!$H108,Ref!$F$4)),ISNUMBER(SEARCH(Ref!$H108,Ref!$F$5)),ISNUMBER(SEARCH(Ref!$H108,Ref!$F$6)),ISNUMBER(SEARCH(Ref!$H108,Ref!$F$7)),ISNUMBER(SEARCH(Ref!$H108,Ref!$F$8))),"",1)</f>
        <v>1</v>
      </c>
    </row>
    <row r="115" spans="1:9" ht="48" hidden="1" customHeight="1" x14ac:dyDescent="0.25">
      <c r="A115" s="30"/>
      <c r="B115" s="94"/>
      <c r="C115" s="87" t="s">
        <v>119</v>
      </c>
      <c r="D115" s="87"/>
      <c r="E115" s="6"/>
      <c r="F115" s="87" t="s">
        <v>133</v>
      </c>
      <c r="G115" s="95"/>
      <c r="I115">
        <f>IF(OR(ISNUMBER(SEARCH(Ref!$H109,Ref!$F$2)),ISNUMBER(SEARCH(Ref!$H109,Ref!$F$3)),ISNUMBER(SEARCH(Ref!$H109,Ref!$F$4)),ISNUMBER(SEARCH(Ref!$H109,Ref!$F$5)),ISNUMBER(SEARCH(Ref!$H109,Ref!$F$6)),ISNUMBER(SEARCH(Ref!$H109,Ref!$F$7)),ISNUMBER(SEARCH(Ref!$H109,Ref!$F$8))),"",1)</f>
        <v>1</v>
      </c>
    </row>
    <row r="116" spans="1:9" ht="48" hidden="1" customHeight="1" x14ac:dyDescent="0.25">
      <c r="A116" s="30"/>
      <c r="B116" s="94"/>
      <c r="C116" s="87" t="s">
        <v>119</v>
      </c>
      <c r="D116" s="87"/>
      <c r="E116" s="6"/>
      <c r="F116" s="87" t="s">
        <v>134</v>
      </c>
      <c r="G116" s="95"/>
      <c r="I116">
        <f>IF(OR(ISNUMBER(SEARCH(Ref!$H110,Ref!$F$2)),ISNUMBER(SEARCH(Ref!$H110,Ref!$F$3)),ISNUMBER(SEARCH(Ref!$H110,Ref!$F$4)),ISNUMBER(SEARCH(Ref!$H110,Ref!$F$5)),ISNUMBER(SEARCH(Ref!$H110,Ref!$F$6)),ISNUMBER(SEARCH(Ref!$H110,Ref!$F$7)),ISNUMBER(SEARCH(Ref!$H110,Ref!$F$8))),"",1)</f>
        <v>1</v>
      </c>
    </row>
    <row r="117" spans="1:9" ht="48" hidden="1" customHeight="1" x14ac:dyDescent="0.25">
      <c r="A117" s="30"/>
      <c r="B117" s="94"/>
      <c r="C117" s="87" t="s">
        <v>119</v>
      </c>
      <c r="D117" s="87"/>
      <c r="E117" s="6"/>
      <c r="F117" s="87" t="s">
        <v>135</v>
      </c>
      <c r="G117" s="95"/>
      <c r="I117">
        <f>IF(OR(ISNUMBER(SEARCH(Ref!$H111,Ref!$F$2)),ISNUMBER(SEARCH(Ref!$H111,Ref!$F$3)),ISNUMBER(SEARCH(Ref!$H111,Ref!$F$4)),ISNUMBER(SEARCH(Ref!$H111,Ref!$F$5)),ISNUMBER(SEARCH(Ref!$H111,Ref!$F$6)),ISNUMBER(SEARCH(Ref!$H111,Ref!$F$7)),ISNUMBER(SEARCH(Ref!$H111,Ref!$F$8))),"",1)</f>
        <v>1</v>
      </c>
    </row>
    <row r="118" spans="1:9" ht="48" hidden="1" customHeight="1" x14ac:dyDescent="0.25">
      <c r="A118" s="30"/>
      <c r="B118" s="94"/>
      <c r="C118" s="87" t="s">
        <v>119</v>
      </c>
      <c r="D118" s="87"/>
      <c r="E118" s="6"/>
      <c r="F118" s="87" t="s">
        <v>136</v>
      </c>
      <c r="G118" s="95"/>
      <c r="I118">
        <f>IF(OR(ISNUMBER(SEARCH(Ref!$H112,Ref!$F$2)),ISNUMBER(SEARCH(Ref!$H112,Ref!$F$3)),ISNUMBER(SEARCH(Ref!$H112,Ref!$F$4)),ISNUMBER(SEARCH(Ref!$H112,Ref!$F$5)),ISNUMBER(SEARCH(Ref!$H112,Ref!$F$6)),ISNUMBER(SEARCH(Ref!$H112,Ref!$F$7)),ISNUMBER(SEARCH(Ref!$H112,Ref!$F$8))),"",1)</f>
        <v>1</v>
      </c>
    </row>
    <row r="119" spans="1:9" ht="48" hidden="1" customHeight="1" x14ac:dyDescent="0.25">
      <c r="A119" s="30"/>
      <c r="B119" s="94"/>
      <c r="C119" s="87" t="s">
        <v>119</v>
      </c>
      <c r="D119" s="87"/>
      <c r="E119" s="6"/>
      <c r="F119" s="87" t="s">
        <v>137</v>
      </c>
      <c r="G119" s="95"/>
      <c r="I119">
        <f>IF(OR(ISNUMBER(SEARCH(Ref!$H113,Ref!$F$2)),ISNUMBER(SEARCH(Ref!$H113,Ref!$F$3)),ISNUMBER(SEARCH(Ref!$H113,Ref!$F$4)),ISNUMBER(SEARCH(Ref!$H113,Ref!$F$5)),ISNUMBER(SEARCH(Ref!$H113,Ref!$F$6)),ISNUMBER(SEARCH(Ref!$H113,Ref!$F$7)),ISNUMBER(SEARCH(Ref!$H113,Ref!$F$8))),"",1)</f>
        <v>1</v>
      </c>
    </row>
    <row r="120" spans="1:9" ht="48" hidden="1" customHeight="1" x14ac:dyDescent="0.25">
      <c r="A120" s="30"/>
      <c r="B120" s="94"/>
      <c r="C120" s="87" t="s">
        <v>119</v>
      </c>
      <c r="D120" s="87"/>
      <c r="E120" s="6"/>
      <c r="F120" s="87" t="s">
        <v>138</v>
      </c>
      <c r="G120" s="95"/>
      <c r="I120">
        <f>IF(OR(ISNUMBER(SEARCH(Ref!$H114,Ref!$F$2)),ISNUMBER(SEARCH(Ref!$H114,Ref!$F$3)),ISNUMBER(SEARCH(Ref!$H114,Ref!$F$4)),ISNUMBER(SEARCH(Ref!$H114,Ref!$F$5)),ISNUMBER(SEARCH(Ref!$H114,Ref!$F$6)),ISNUMBER(SEARCH(Ref!$H114,Ref!$F$7)),ISNUMBER(SEARCH(Ref!$H114,Ref!$F$8))),"",1)</f>
        <v>1</v>
      </c>
    </row>
    <row r="121" spans="1:9" ht="48" hidden="1" customHeight="1" x14ac:dyDescent="0.25">
      <c r="A121" s="30"/>
      <c r="B121" s="94"/>
      <c r="C121" s="87" t="s">
        <v>119</v>
      </c>
      <c r="D121" s="87"/>
      <c r="E121" s="6"/>
      <c r="F121" s="87" t="s">
        <v>139</v>
      </c>
      <c r="G121" s="95"/>
      <c r="I121">
        <f>IF(OR(ISNUMBER(SEARCH(Ref!$H115,Ref!$F$2)),ISNUMBER(SEARCH(Ref!$H115,Ref!$F$3)),ISNUMBER(SEARCH(Ref!$H115,Ref!$F$4)),ISNUMBER(SEARCH(Ref!$H115,Ref!$F$5)),ISNUMBER(SEARCH(Ref!$H115,Ref!$F$6)),ISNUMBER(SEARCH(Ref!$H115,Ref!$F$7)),ISNUMBER(SEARCH(Ref!$H115,Ref!$F$8))),"",1)</f>
        <v>1</v>
      </c>
    </row>
    <row r="122" spans="1:9" ht="48" hidden="1" customHeight="1" x14ac:dyDescent="0.25">
      <c r="A122" s="30"/>
      <c r="B122" s="94"/>
      <c r="C122" s="87" t="s">
        <v>120</v>
      </c>
      <c r="D122" s="87"/>
      <c r="E122" s="6"/>
      <c r="F122" s="87" t="s">
        <v>121</v>
      </c>
      <c r="G122" s="95"/>
      <c r="I122">
        <f>IF(OR(ISNUMBER(SEARCH(Ref!$H116,Ref!$F$2)),ISNUMBER(SEARCH(Ref!$H116,Ref!$F$3)),ISNUMBER(SEARCH(Ref!$H116,Ref!$F$4)),ISNUMBER(SEARCH(Ref!$H116,Ref!$F$5)),ISNUMBER(SEARCH(Ref!$H116,Ref!$F$6)),ISNUMBER(SEARCH(Ref!$H116,Ref!$F$7)),ISNUMBER(SEARCH(Ref!$H116,Ref!$F$8))),"",1)</f>
        <v>1</v>
      </c>
    </row>
    <row r="123" spans="1:9" ht="48" hidden="1" customHeight="1" x14ac:dyDescent="0.25">
      <c r="A123" s="30"/>
      <c r="B123" s="94"/>
      <c r="C123" s="87" t="s">
        <v>120</v>
      </c>
      <c r="D123" s="87"/>
      <c r="E123" s="6"/>
      <c r="F123" s="87" t="s">
        <v>88</v>
      </c>
      <c r="G123" s="95"/>
      <c r="I123">
        <f>IF(OR(ISNUMBER(SEARCH(Ref!$H117,Ref!$F$2)),ISNUMBER(SEARCH(Ref!$H117,Ref!$F$3)),ISNUMBER(SEARCH(Ref!$H117,Ref!$F$4)),ISNUMBER(SEARCH(Ref!$H117,Ref!$F$5)),ISNUMBER(SEARCH(Ref!$H117,Ref!$F$6)),ISNUMBER(SEARCH(Ref!$H117,Ref!$F$7)),ISNUMBER(SEARCH(Ref!$H117,Ref!$F$8))),"",1)</f>
        <v>1</v>
      </c>
    </row>
    <row r="124" spans="1:9" ht="48" hidden="1" customHeight="1" x14ac:dyDescent="0.25">
      <c r="A124" s="30"/>
      <c r="B124" s="94"/>
      <c r="C124" s="87" t="s">
        <v>120</v>
      </c>
      <c r="D124" s="87"/>
      <c r="E124" s="6"/>
      <c r="F124" s="87" t="s">
        <v>122</v>
      </c>
      <c r="G124" s="95"/>
      <c r="I124">
        <f>IF(OR(ISNUMBER(SEARCH(Ref!$H118,Ref!$F$2)),ISNUMBER(SEARCH(Ref!$H118,Ref!$F$3)),ISNUMBER(SEARCH(Ref!$H118,Ref!$F$4)),ISNUMBER(SEARCH(Ref!$H118,Ref!$F$5)),ISNUMBER(SEARCH(Ref!$H118,Ref!$F$6)),ISNUMBER(SEARCH(Ref!$H118,Ref!$F$7)),ISNUMBER(SEARCH(Ref!$H118,Ref!$F$8))),"",1)</f>
        <v>1</v>
      </c>
    </row>
    <row r="125" spans="1:9" ht="48" hidden="1" customHeight="1" x14ac:dyDescent="0.25">
      <c r="A125" s="30"/>
      <c r="B125" s="94"/>
      <c r="C125" s="87" t="s">
        <v>120</v>
      </c>
      <c r="D125" s="87"/>
      <c r="E125" s="6"/>
      <c r="F125" s="87" t="s">
        <v>123</v>
      </c>
      <c r="G125" s="95"/>
      <c r="I125">
        <f>IF(OR(ISNUMBER(SEARCH(Ref!$H119,Ref!$F$2)),ISNUMBER(SEARCH(Ref!$H119,Ref!$F$3)),ISNUMBER(SEARCH(Ref!$H119,Ref!$F$4)),ISNUMBER(SEARCH(Ref!$H119,Ref!$F$5)),ISNUMBER(SEARCH(Ref!$H119,Ref!$F$6)),ISNUMBER(SEARCH(Ref!$H119,Ref!$F$7)),ISNUMBER(SEARCH(Ref!$H119,Ref!$F$8))),"",1)</f>
        <v>1</v>
      </c>
    </row>
    <row r="126" spans="1:9" ht="48" hidden="1" customHeight="1" x14ac:dyDescent="0.25">
      <c r="A126" s="30"/>
      <c r="B126" s="94"/>
      <c r="C126" s="87" t="s">
        <v>120</v>
      </c>
      <c r="D126" s="87"/>
      <c r="E126" s="6"/>
      <c r="F126" s="87" t="s">
        <v>124</v>
      </c>
      <c r="G126" s="95"/>
      <c r="I126">
        <f>IF(OR(ISNUMBER(SEARCH(Ref!$H120,Ref!$F$2)),ISNUMBER(SEARCH(Ref!$H120,Ref!$F$3)),ISNUMBER(SEARCH(Ref!$H120,Ref!$F$4)),ISNUMBER(SEARCH(Ref!$H120,Ref!$F$5)),ISNUMBER(SEARCH(Ref!$H120,Ref!$F$6)),ISNUMBER(SEARCH(Ref!$H120,Ref!$F$7)),ISNUMBER(SEARCH(Ref!$H120,Ref!$F$8))),"",1)</f>
        <v>1</v>
      </c>
    </row>
    <row r="127" spans="1:9" ht="48" hidden="1" customHeight="1" x14ac:dyDescent="0.25">
      <c r="A127" s="30"/>
      <c r="B127" s="94"/>
      <c r="C127" s="87" t="s">
        <v>120</v>
      </c>
      <c r="D127" s="87"/>
      <c r="E127" s="6"/>
      <c r="F127" s="87" t="s">
        <v>95</v>
      </c>
      <c r="G127" s="95"/>
      <c r="I127">
        <f>IF(OR(ISNUMBER(SEARCH(Ref!$H121,Ref!$F$2)),ISNUMBER(SEARCH(Ref!$H121,Ref!$F$3)),ISNUMBER(SEARCH(Ref!$H121,Ref!$F$4)),ISNUMBER(SEARCH(Ref!$H121,Ref!$F$5)),ISNUMBER(SEARCH(Ref!$H121,Ref!$F$6)),ISNUMBER(SEARCH(Ref!$H121,Ref!$F$7)),ISNUMBER(SEARCH(Ref!$H121,Ref!$F$8))),"",1)</f>
        <v>1</v>
      </c>
    </row>
    <row r="128" spans="1:9" ht="48" hidden="1" customHeight="1" x14ac:dyDescent="0.25">
      <c r="A128" s="30"/>
      <c r="B128" s="94"/>
      <c r="C128" s="87" t="s">
        <v>120</v>
      </c>
      <c r="D128" s="87"/>
      <c r="E128" s="6"/>
      <c r="F128" s="87" t="s">
        <v>125</v>
      </c>
      <c r="G128" s="95"/>
      <c r="I128">
        <f>IF(OR(ISNUMBER(SEARCH(Ref!$H122,Ref!$F$2)),ISNUMBER(SEARCH(Ref!$H122,Ref!$F$3)),ISNUMBER(SEARCH(Ref!$H122,Ref!$F$4)),ISNUMBER(SEARCH(Ref!$H122,Ref!$F$5)),ISNUMBER(SEARCH(Ref!$H122,Ref!$F$6)),ISNUMBER(SEARCH(Ref!$H122,Ref!$F$7)),ISNUMBER(SEARCH(Ref!$H122,Ref!$F$8))),"",1)</f>
        <v>1</v>
      </c>
    </row>
    <row r="129" spans="1:9" ht="48" hidden="1" customHeight="1" x14ac:dyDescent="0.25">
      <c r="A129" s="30"/>
      <c r="B129" s="94"/>
      <c r="C129" s="87" t="s">
        <v>120</v>
      </c>
      <c r="D129" s="87"/>
      <c r="E129" s="6"/>
      <c r="F129" s="87" t="s">
        <v>126</v>
      </c>
      <c r="G129" s="95"/>
      <c r="I129">
        <f>IF(OR(ISNUMBER(SEARCH(Ref!$H123,Ref!$F$2)),ISNUMBER(SEARCH(Ref!$H123,Ref!$F$3)),ISNUMBER(SEARCH(Ref!$H123,Ref!$F$4)),ISNUMBER(SEARCH(Ref!$H123,Ref!$F$5)),ISNUMBER(SEARCH(Ref!$H123,Ref!$F$6)),ISNUMBER(SEARCH(Ref!$H123,Ref!$F$7)),ISNUMBER(SEARCH(Ref!$H123,Ref!$F$8))),"",1)</f>
        <v>1</v>
      </c>
    </row>
    <row r="130" spans="1:9" ht="48" hidden="1" customHeight="1" x14ac:dyDescent="0.25">
      <c r="A130" s="30"/>
      <c r="B130" s="94"/>
      <c r="C130" s="87" t="s">
        <v>120</v>
      </c>
      <c r="D130" s="87"/>
      <c r="E130" s="6"/>
      <c r="F130" s="87" t="s">
        <v>127</v>
      </c>
      <c r="G130" s="95"/>
      <c r="I130">
        <f>IF(OR(ISNUMBER(SEARCH(Ref!$H124,Ref!$F$2)),ISNUMBER(SEARCH(Ref!$H124,Ref!$F$3)),ISNUMBER(SEARCH(Ref!$H124,Ref!$F$4)),ISNUMBER(SEARCH(Ref!$H124,Ref!$F$5)),ISNUMBER(SEARCH(Ref!$H124,Ref!$F$6)),ISNUMBER(SEARCH(Ref!$H124,Ref!$F$7)),ISNUMBER(SEARCH(Ref!$H124,Ref!$F$8))),"",1)</f>
        <v>1</v>
      </c>
    </row>
    <row r="131" spans="1:9" ht="48" hidden="1" customHeight="1" x14ac:dyDescent="0.25">
      <c r="A131" s="30"/>
      <c r="B131" s="94"/>
      <c r="C131" s="87" t="s">
        <v>120</v>
      </c>
      <c r="D131" s="87"/>
      <c r="E131" s="6"/>
      <c r="F131" s="87" t="s">
        <v>128</v>
      </c>
      <c r="G131" s="95"/>
      <c r="I131">
        <f>IF(OR(ISNUMBER(SEARCH(Ref!$H125,Ref!$F$2)),ISNUMBER(SEARCH(Ref!$H125,Ref!$F$3)),ISNUMBER(SEARCH(Ref!$H125,Ref!$F$4)),ISNUMBER(SEARCH(Ref!$H125,Ref!$F$5)),ISNUMBER(SEARCH(Ref!$H125,Ref!$F$6)),ISNUMBER(SEARCH(Ref!$H125,Ref!$F$7)),ISNUMBER(SEARCH(Ref!$H125,Ref!$F$8))),"",1)</f>
        <v>1</v>
      </c>
    </row>
    <row r="132" spans="1:9" ht="48" hidden="1" customHeight="1" x14ac:dyDescent="0.25">
      <c r="A132" s="30"/>
      <c r="B132" s="94"/>
      <c r="C132" s="87" t="s">
        <v>120</v>
      </c>
      <c r="D132" s="87"/>
      <c r="E132" s="6"/>
      <c r="F132" s="87" t="s">
        <v>129</v>
      </c>
      <c r="G132" s="95"/>
      <c r="I132">
        <f>IF(OR(ISNUMBER(SEARCH(Ref!$H126,Ref!$F$2)),ISNUMBER(SEARCH(Ref!$H126,Ref!$F$3)),ISNUMBER(SEARCH(Ref!$H126,Ref!$F$4)),ISNUMBER(SEARCH(Ref!$H126,Ref!$F$5)),ISNUMBER(SEARCH(Ref!$H126,Ref!$F$6)),ISNUMBER(SEARCH(Ref!$H126,Ref!$F$7)),ISNUMBER(SEARCH(Ref!$H126,Ref!$F$8))),"",1)</f>
        <v>1</v>
      </c>
    </row>
    <row r="133" spans="1:9" ht="48" hidden="1" customHeight="1" x14ac:dyDescent="0.25">
      <c r="A133" s="30"/>
      <c r="B133" s="94"/>
      <c r="C133" s="87" t="s">
        <v>120</v>
      </c>
      <c r="D133" s="87"/>
      <c r="E133" s="6"/>
      <c r="F133" s="87" t="s">
        <v>130</v>
      </c>
      <c r="G133" s="95"/>
      <c r="I133">
        <f>IF(OR(ISNUMBER(SEARCH(Ref!$H127,Ref!$F$2)),ISNUMBER(SEARCH(Ref!$H127,Ref!$F$3)),ISNUMBER(SEARCH(Ref!$H127,Ref!$F$4)),ISNUMBER(SEARCH(Ref!$H127,Ref!$F$5)),ISNUMBER(SEARCH(Ref!$H127,Ref!$F$6)),ISNUMBER(SEARCH(Ref!$H127,Ref!$F$7)),ISNUMBER(SEARCH(Ref!$H127,Ref!$F$8))),"",1)</f>
        <v>1</v>
      </c>
    </row>
    <row r="134" spans="1:9" ht="48" hidden="1" customHeight="1" x14ac:dyDescent="0.25">
      <c r="A134" s="30"/>
      <c r="B134" s="94"/>
      <c r="C134" s="87" t="s">
        <v>120</v>
      </c>
      <c r="D134" s="87"/>
      <c r="E134" s="6"/>
      <c r="F134" s="87" t="s">
        <v>131</v>
      </c>
      <c r="G134" s="95"/>
      <c r="I134">
        <f>IF(OR(ISNUMBER(SEARCH(Ref!$H128,Ref!$F$2)),ISNUMBER(SEARCH(Ref!$H128,Ref!$F$3)),ISNUMBER(SEARCH(Ref!$H128,Ref!$F$4)),ISNUMBER(SEARCH(Ref!$H128,Ref!$F$5)),ISNUMBER(SEARCH(Ref!$H128,Ref!$F$6)),ISNUMBER(SEARCH(Ref!$H128,Ref!$F$7)),ISNUMBER(SEARCH(Ref!$H128,Ref!$F$8))),"",1)</f>
        <v>1</v>
      </c>
    </row>
    <row r="135" spans="1:9" ht="48" hidden="1" customHeight="1" x14ac:dyDescent="0.25">
      <c r="A135" s="30"/>
      <c r="B135" s="94"/>
      <c r="C135" s="87" t="s">
        <v>120</v>
      </c>
      <c r="D135" s="87"/>
      <c r="E135" s="6"/>
      <c r="F135" s="87" t="s">
        <v>132</v>
      </c>
      <c r="G135" s="95"/>
      <c r="I135">
        <f>IF(OR(ISNUMBER(SEARCH(Ref!$H129,Ref!$F$2)),ISNUMBER(SEARCH(Ref!$H129,Ref!$F$3)),ISNUMBER(SEARCH(Ref!$H129,Ref!$F$4)),ISNUMBER(SEARCH(Ref!$H129,Ref!$F$5)),ISNUMBER(SEARCH(Ref!$H129,Ref!$F$6)),ISNUMBER(SEARCH(Ref!$H129,Ref!$F$7)),ISNUMBER(SEARCH(Ref!$H129,Ref!$F$8))),"",1)</f>
        <v>1</v>
      </c>
    </row>
    <row r="136" spans="1:9" ht="48" hidden="1" customHeight="1" x14ac:dyDescent="0.25">
      <c r="A136" s="30"/>
      <c r="B136" s="94"/>
      <c r="C136" s="87" t="s">
        <v>120</v>
      </c>
      <c r="D136" s="87"/>
      <c r="E136" s="6"/>
      <c r="F136" s="87" t="s">
        <v>133</v>
      </c>
      <c r="G136" s="95"/>
      <c r="I136">
        <f>IF(OR(ISNUMBER(SEARCH(Ref!$H130,Ref!$F$2)),ISNUMBER(SEARCH(Ref!$H130,Ref!$F$3)),ISNUMBER(SEARCH(Ref!$H130,Ref!$F$4)),ISNUMBER(SEARCH(Ref!$H130,Ref!$F$5)),ISNUMBER(SEARCH(Ref!$H130,Ref!$F$6)),ISNUMBER(SEARCH(Ref!$H130,Ref!$F$7)),ISNUMBER(SEARCH(Ref!$H130,Ref!$F$8))),"",1)</f>
        <v>1</v>
      </c>
    </row>
    <row r="137" spans="1:9" ht="48" hidden="1" customHeight="1" x14ac:dyDescent="0.25">
      <c r="A137" s="30"/>
      <c r="B137" s="94"/>
      <c r="C137" s="87" t="s">
        <v>120</v>
      </c>
      <c r="D137" s="87"/>
      <c r="E137" s="6"/>
      <c r="F137" s="87" t="s">
        <v>134</v>
      </c>
      <c r="G137" s="95"/>
      <c r="I137">
        <f>IF(OR(ISNUMBER(SEARCH(Ref!$H131,Ref!$F$2)),ISNUMBER(SEARCH(Ref!$H131,Ref!$F$3)),ISNUMBER(SEARCH(Ref!$H131,Ref!$F$4)),ISNUMBER(SEARCH(Ref!$H131,Ref!$F$5)),ISNUMBER(SEARCH(Ref!$H131,Ref!$F$6)),ISNUMBER(SEARCH(Ref!$H131,Ref!$F$7)),ISNUMBER(SEARCH(Ref!$H131,Ref!$F$8))),"",1)</f>
        <v>1</v>
      </c>
    </row>
    <row r="138" spans="1:9" ht="48" hidden="1" customHeight="1" x14ac:dyDescent="0.25">
      <c r="A138" s="30"/>
      <c r="B138" s="94"/>
      <c r="C138" s="87" t="s">
        <v>120</v>
      </c>
      <c r="D138" s="87"/>
      <c r="E138" s="6"/>
      <c r="F138" s="87" t="s">
        <v>135</v>
      </c>
      <c r="G138" s="95"/>
      <c r="I138">
        <f>IF(OR(ISNUMBER(SEARCH(Ref!$H132,Ref!$F$2)),ISNUMBER(SEARCH(Ref!$H132,Ref!$F$3)),ISNUMBER(SEARCH(Ref!$H132,Ref!$F$4)),ISNUMBER(SEARCH(Ref!$H132,Ref!$F$5)),ISNUMBER(SEARCH(Ref!$H132,Ref!$F$6)),ISNUMBER(SEARCH(Ref!$H132,Ref!$F$7)),ISNUMBER(SEARCH(Ref!$H132,Ref!$F$8))),"",1)</f>
        <v>1</v>
      </c>
    </row>
    <row r="139" spans="1:9" ht="48" hidden="1" customHeight="1" x14ac:dyDescent="0.25">
      <c r="A139" s="30"/>
      <c r="B139" s="94"/>
      <c r="C139" s="87" t="s">
        <v>120</v>
      </c>
      <c r="D139" s="87"/>
      <c r="E139" s="6"/>
      <c r="F139" s="87" t="s">
        <v>136</v>
      </c>
      <c r="G139" s="95"/>
      <c r="I139">
        <f>IF(OR(ISNUMBER(SEARCH(Ref!$H133,Ref!$F$2)),ISNUMBER(SEARCH(Ref!$H133,Ref!$F$3)),ISNUMBER(SEARCH(Ref!$H133,Ref!$F$4)),ISNUMBER(SEARCH(Ref!$H133,Ref!$F$5)),ISNUMBER(SEARCH(Ref!$H133,Ref!$F$6)),ISNUMBER(SEARCH(Ref!$H133,Ref!$F$7)),ISNUMBER(SEARCH(Ref!$H133,Ref!$F$8))),"",1)</f>
        <v>1</v>
      </c>
    </row>
    <row r="140" spans="1:9" ht="48" hidden="1" customHeight="1" x14ac:dyDescent="0.25">
      <c r="A140" s="30"/>
      <c r="B140" s="94"/>
      <c r="C140" s="87" t="s">
        <v>120</v>
      </c>
      <c r="D140" s="87"/>
      <c r="E140" s="6"/>
      <c r="F140" s="87" t="s">
        <v>137</v>
      </c>
      <c r="G140" s="95"/>
      <c r="I140">
        <f>IF(OR(ISNUMBER(SEARCH(Ref!$H134,Ref!$F$2)),ISNUMBER(SEARCH(Ref!$H134,Ref!$F$3)),ISNUMBER(SEARCH(Ref!$H134,Ref!$F$4)),ISNUMBER(SEARCH(Ref!$H134,Ref!$F$5)),ISNUMBER(SEARCH(Ref!$H134,Ref!$F$6)),ISNUMBER(SEARCH(Ref!$H134,Ref!$F$7)),ISNUMBER(SEARCH(Ref!$H134,Ref!$F$8))),"",1)</f>
        <v>1</v>
      </c>
    </row>
    <row r="141" spans="1:9" ht="48" hidden="1" customHeight="1" x14ac:dyDescent="0.25">
      <c r="A141" s="30"/>
      <c r="B141" s="94"/>
      <c r="C141" s="87" t="s">
        <v>120</v>
      </c>
      <c r="D141" s="87"/>
      <c r="E141" s="6"/>
      <c r="F141" s="87" t="s">
        <v>138</v>
      </c>
      <c r="G141" s="95"/>
      <c r="I141">
        <f>IF(OR(ISNUMBER(SEARCH(Ref!$H135,Ref!$F$2)),ISNUMBER(SEARCH(Ref!$H135,Ref!$F$3)),ISNUMBER(SEARCH(Ref!$H135,Ref!$F$4)),ISNUMBER(SEARCH(Ref!$H135,Ref!$F$5)),ISNUMBER(SEARCH(Ref!$H135,Ref!$F$6)),ISNUMBER(SEARCH(Ref!$H135,Ref!$F$7)),ISNUMBER(SEARCH(Ref!$H135,Ref!$F$8))),"",1)</f>
        <v>1</v>
      </c>
    </row>
    <row r="142" spans="1:9" ht="48" hidden="1" customHeight="1" x14ac:dyDescent="0.25">
      <c r="A142" s="30"/>
      <c r="B142" s="94"/>
      <c r="C142" s="87" t="s">
        <v>120</v>
      </c>
      <c r="D142" s="87"/>
      <c r="E142" s="6"/>
      <c r="F142" s="87" t="s">
        <v>139</v>
      </c>
      <c r="G142" s="95"/>
      <c r="I142">
        <f>IF(OR(ISNUMBER(SEARCH(Ref!$H136,Ref!$F$2)),ISNUMBER(SEARCH(Ref!$H136,Ref!$F$3)),ISNUMBER(SEARCH(Ref!$H136,Ref!$F$4)),ISNUMBER(SEARCH(Ref!$H136,Ref!$F$5)),ISNUMBER(SEARCH(Ref!$H136,Ref!$F$6)),ISNUMBER(SEARCH(Ref!$H136,Ref!$F$7)),ISNUMBER(SEARCH(Ref!$H136,Ref!$F$8))),"",1)</f>
        <v>1</v>
      </c>
    </row>
    <row r="143" spans="1:9" ht="48" hidden="1" customHeight="1" x14ac:dyDescent="0.25">
      <c r="A143" s="30"/>
      <c r="B143" s="94"/>
      <c r="C143" s="87" t="s">
        <v>121</v>
      </c>
      <c r="D143" s="87"/>
      <c r="E143" s="6"/>
      <c r="F143" s="87" t="s">
        <v>88</v>
      </c>
      <c r="G143" s="95"/>
      <c r="I143">
        <f>IF(OR(ISNUMBER(SEARCH(Ref!$H137,Ref!$F$2)),ISNUMBER(SEARCH(Ref!$H137,Ref!$F$3)),ISNUMBER(SEARCH(Ref!$H137,Ref!$F$4)),ISNUMBER(SEARCH(Ref!$H137,Ref!$F$5)),ISNUMBER(SEARCH(Ref!$H137,Ref!$F$6)),ISNUMBER(SEARCH(Ref!$H137,Ref!$F$7)),ISNUMBER(SEARCH(Ref!$H137,Ref!$F$8))),"",1)</f>
        <v>1</v>
      </c>
    </row>
    <row r="144" spans="1:9" ht="48" hidden="1" customHeight="1" x14ac:dyDescent="0.25">
      <c r="A144" s="30"/>
      <c r="B144" s="94"/>
      <c r="C144" s="87" t="s">
        <v>121</v>
      </c>
      <c r="D144" s="87"/>
      <c r="E144" s="6"/>
      <c r="F144" s="87" t="s">
        <v>122</v>
      </c>
      <c r="G144" s="95"/>
      <c r="I144">
        <f>IF(OR(ISNUMBER(SEARCH(Ref!$H138,Ref!$F$2)),ISNUMBER(SEARCH(Ref!$H138,Ref!$F$3)),ISNUMBER(SEARCH(Ref!$H138,Ref!$F$4)),ISNUMBER(SEARCH(Ref!$H138,Ref!$F$5)),ISNUMBER(SEARCH(Ref!$H138,Ref!$F$6)),ISNUMBER(SEARCH(Ref!$H138,Ref!$F$7)),ISNUMBER(SEARCH(Ref!$H138,Ref!$F$8))),"",1)</f>
        <v>1</v>
      </c>
    </row>
    <row r="145" spans="1:9" ht="48" hidden="1" customHeight="1" x14ac:dyDescent="0.25">
      <c r="A145" s="30"/>
      <c r="B145" s="94"/>
      <c r="C145" s="87" t="s">
        <v>121</v>
      </c>
      <c r="D145" s="87"/>
      <c r="E145" s="6"/>
      <c r="F145" s="87" t="s">
        <v>123</v>
      </c>
      <c r="G145" s="95"/>
      <c r="I145">
        <f>IF(OR(ISNUMBER(SEARCH(Ref!$H139,Ref!$F$2)),ISNUMBER(SEARCH(Ref!$H139,Ref!$F$3)),ISNUMBER(SEARCH(Ref!$H139,Ref!$F$4)),ISNUMBER(SEARCH(Ref!$H139,Ref!$F$5)),ISNUMBER(SEARCH(Ref!$H139,Ref!$F$6)),ISNUMBER(SEARCH(Ref!$H139,Ref!$F$7)),ISNUMBER(SEARCH(Ref!$H139,Ref!$F$8))),"",1)</f>
        <v>1</v>
      </c>
    </row>
    <row r="146" spans="1:9" ht="48" hidden="1" customHeight="1" x14ac:dyDescent="0.25">
      <c r="A146" s="30"/>
      <c r="B146" s="94"/>
      <c r="C146" s="87" t="s">
        <v>121</v>
      </c>
      <c r="D146" s="87"/>
      <c r="E146" s="6"/>
      <c r="F146" s="87" t="s">
        <v>124</v>
      </c>
      <c r="G146" s="95"/>
      <c r="I146">
        <f>IF(OR(ISNUMBER(SEARCH(Ref!$H140,Ref!$F$2)),ISNUMBER(SEARCH(Ref!$H140,Ref!$F$3)),ISNUMBER(SEARCH(Ref!$H140,Ref!$F$4)),ISNUMBER(SEARCH(Ref!$H140,Ref!$F$5)),ISNUMBER(SEARCH(Ref!$H140,Ref!$F$6)),ISNUMBER(SEARCH(Ref!$H140,Ref!$F$7)),ISNUMBER(SEARCH(Ref!$H140,Ref!$F$8))),"",1)</f>
        <v>1</v>
      </c>
    </row>
    <row r="147" spans="1:9" ht="48" hidden="1" customHeight="1" x14ac:dyDescent="0.25">
      <c r="A147" s="30"/>
      <c r="B147" s="94"/>
      <c r="C147" s="87" t="s">
        <v>121</v>
      </c>
      <c r="D147" s="87"/>
      <c r="E147" s="6"/>
      <c r="F147" s="87" t="s">
        <v>95</v>
      </c>
      <c r="G147" s="95"/>
      <c r="I147">
        <f>IF(OR(ISNUMBER(SEARCH(Ref!$H141,Ref!$F$2)),ISNUMBER(SEARCH(Ref!$H141,Ref!$F$3)),ISNUMBER(SEARCH(Ref!$H141,Ref!$F$4)),ISNUMBER(SEARCH(Ref!$H141,Ref!$F$5)),ISNUMBER(SEARCH(Ref!$H141,Ref!$F$6)),ISNUMBER(SEARCH(Ref!$H141,Ref!$F$7)),ISNUMBER(SEARCH(Ref!$H141,Ref!$F$8))),"",1)</f>
        <v>1</v>
      </c>
    </row>
    <row r="148" spans="1:9" ht="48" hidden="1" customHeight="1" x14ac:dyDescent="0.25">
      <c r="A148" s="30"/>
      <c r="B148" s="94"/>
      <c r="C148" s="87" t="s">
        <v>121</v>
      </c>
      <c r="D148" s="87"/>
      <c r="E148" s="6"/>
      <c r="F148" s="87" t="s">
        <v>125</v>
      </c>
      <c r="G148" s="95"/>
      <c r="I148">
        <f>IF(OR(ISNUMBER(SEARCH(Ref!$H142,Ref!$F$2)),ISNUMBER(SEARCH(Ref!$H142,Ref!$F$3)),ISNUMBER(SEARCH(Ref!$H142,Ref!$F$4)),ISNUMBER(SEARCH(Ref!$H142,Ref!$F$5)),ISNUMBER(SEARCH(Ref!$H142,Ref!$F$6)),ISNUMBER(SEARCH(Ref!$H142,Ref!$F$7)),ISNUMBER(SEARCH(Ref!$H142,Ref!$F$8))),"",1)</f>
        <v>1</v>
      </c>
    </row>
    <row r="149" spans="1:9" ht="48" hidden="1" customHeight="1" x14ac:dyDescent="0.25">
      <c r="A149" s="30"/>
      <c r="B149" s="94"/>
      <c r="C149" s="87" t="s">
        <v>121</v>
      </c>
      <c r="D149" s="87"/>
      <c r="E149" s="6"/>
      <c r="F149" s="87" t="s">
        <v>126</v>
      </c>
      <c r="G149" s="95"/>
      <c r="I149">
        <f>IF(OR(ISNUMBER(SEARCH(Ref!$H143,Ref!$F$2)),ISNUMBER(SEARCH(Ref!$H143,Ref!$F$3)),ISNUMBER(SEARCH(Ref!$H143,Ref!$F$4)),ISNUMBER(SEARCH(Ref!$H143,Ref!$F$5)),ISNUMBER(SEARCH(Ref!$H143,Ref!$F$6)),ISNUMBER(SEARCH(Ref!$H143,Ref!$F$7)),ISNUMBER(SEARCH(Ref!$H143,Ref!$F$8))),"",1)</f>
        <v>1</v>
      </c>
    </row>
    <row r="150" spans="1:9" ht="48" hidden="1" customHeight="1" x14ac:dyDescent="0.25">
      <c r="A150" s="30"/>
      <c r="B150" s="94"/>
      <c r="C150" s="87" t="s">
        <v>121</v>
      </c>
      <c r="D150" s="87"/>
      <c r="E150" s="6"/>
      <c r="F150" s="87" t="s">
        <v>127</v>
      </c>
      <c r="G150" s="95"/>
      <c r="I150">
        <f>IF(OR(ISNUMBER(SEARCH(Ref!$H144,Ref!$F$2)),ISNUMBER(SEARCH(Ref!$H144,Ref!$F$3)),ISNUMBER(SEARCH(Ref!$H144,Ref!$F$4)),ISNUMBER(SEARCH(Ref!$H144,Ref!$F$5)),ISNUMBER(SEARCH(Ref!$H144,Ref!$F$6)),ISNUMBER(SEARCH(Ref!$H144,Ref!$F$7)),ISNUMBER(SEARCH(Ref!$H144,Ref!$F$8))),"",1)</f>
        <v>1</v>
      </c>
    </row>
    <row r="151" spans="1:9" ht="48" hidden="1" customHeight="1" x14ac:dyDescent="0.25">
      <c r="A151" s="30"/>
      <c r="B151" s="94"/>
      <c r="C151" s="87" t="s">
        <v>121</v>
      </c>
      <c r="D151" s="87"/>
      <c r="E151" s="6"/>
      <c r="F151" s="87" t="s">
        <v>128</v>
      </c>
      <c r="G151" s="95"/>
      <c r="I151">
        <f>IF(OR(ISNUMBER(SEARCH(Ref!$H145,Ref!$F$2)),ISNUMBER(SEARCH(Ref!$H145,Ref!$F$3)),ISNUMBER(SEARCH(Ref!$H145,Ref!$F$4)),ISNUMBER(SEARCH(Ref!$H145,Ref!$F$5)),ISNUMBER(SEARCH(Ref!$H145,Ref!$F$6)),ISNUMBER(SEARCH(Ref!$H145,Ref!$F$7)),ISNUMBER(SEARCH(Ref!$H145,Ref!$F$8))),"",1)</f>
        <v>1</v>
      </c>
    </row>
    <row r="152" spans="1:9" ht="48" hidden="1" customHeight="1" x14ac:dyDescent="0.25">
      <c r="A152" s="30"/>
      <c r="B152" s="94"/>
      <c r="C152" s="87" t="s">
        <v>121</v>
      </c>
      <c r="D152" s="87"/>
      <c r="E152" s="6"/>
      <c r="F152" s="87" t="s">
        <v>129</v>
      </c>
      <c r="G152" s="95"/>
      <c r="I152">
        <f>IF(OR(ISNUMBER(SEARCH(Ref!$H146,Ref!$F$2)),ISNUMBER(SEARCH(Ref!$H146,Ref!$F$3)),ISNUMBER(SEARCH(Ref!$H146,Ref!$F$4)),ISNUMBER(SEARCH(Ref!$H146,Ref!$F$5)),ISNUMBER(SEARCH(Ref!$H146,Ref!$F$6)),ISNUMBER(SEARCH(Ref!$H146,Ref!$F$7)),ISNUMBER(SEARCH(Ref!$H146,Ref!$F$8))),"",1)</f>
        <v>1</v>
      </c>
    </row>
    <row r="153" spans="1:9" ht="48" hidden="1" customHeight="1" x14ac:dyDescent="0.25">
      <c r="A153" s="30"/>
      <c r="B153" s="94"/>
      <c r="C153" s="87" t="s">
        <v>121</v>
      </c>
      <c r="D153" s="87"/>
      <c r="E153" s="6"/>
      <c r="F153" s="87" t="s">
        <v>130</v>
      </c>
      <c r="G153" s="95"/>
      <c r="I153">
        <f>IF(OR(ISNUMBER(SEARCH(Ref!$H147,Ref!$F$2)),ISNUMBER(SEARCH(Ref!$H147,Ref!$F$3)),ISNUMBER(SEARCH(Ref!$H147,Ref!$F$4)),ISNUMBER(SEARCH(Ref!$H147,Ref!$F$5)),ISNUMBER(SEARCH(Ref!$H147,Ref!$F$6)),ISNUMBER(SEARCH(Ref!$H147,Ref!$F$7)),ISNUMBER(SEARCH(Ref!$H147,Ref!$F$8))),"",1)</f>
        <v>1</v>
      </c>
    </row>
    <row r="154" spans="1:9" ht="48" hidden="1" customHeight="1" x14ac:dyDescent="0.25">
      <c r="A154" s="30"/>
      <c r="B154" s="94"/>
      <c r="C154" s="87" t="s">
        <v>121</v>
      </c>
      <c r="D154" s="87"/>
      <c r="E154" s="6"/>
      <c r="F154" s="87" t="s">
        <v>131</v>
      </c>
      <c r="G154" s="95"/>
      <c r="I154">
        <f>IF(OR(ISNUMBER(SEARCH(Ref!$H148,Ref!$F$2)),ISNUMBER(SEARCH(Ref!$H148,Ref!$F$3)),ISNUMBER(SEARCH(Ref!$H148,Ref!$F$4)),ISNUMBER(SEARCH(Ref!$H148,Ref!$F$5)),ISNUMBER(SEARCH(Ref!$H148,Ref!$F$6)),ISNUMBER(SEARCH(Ref!$H148,Ref!$F$7)),ISNUMBER(SEARCH(Ref!$H148,Ref!$F$8))),"",1)</f>
        <v>1</v>
      </c>
    </row>
    <row r="155" spans="1:9" ht="48" hidden="1" customHeight="1" x14ac:dyDescent="0.25">
      <c r="A155" s="30"/>
      <c r="B155" s="94"/>
      <c r="C155" s="87" t="s">
        <v>121</v>
      </c>
      <c r="D155" s="87"/>
      <c r="E155" s="6"/>
      <c r="F155" s="87" t="s">
        <v>132</v>
      </c>
      <c r="G155" s="95"/>
      <c r="I155">
        <f>IF(OR(ISNUMBER(SEARCH(Ref!$H149,Ref!$F$2)),ISNUMBER(SEARCH(Ref!$H149,Ref!$F$3)),ISNUMBER(SEARCH(Ref!$H149,Ref!$F$4)),ISNUMBER(SEARCH(Ref!$H149,Ref!$F$5)),ISNUMBER(SEARCH(Ref!$H149,Ref!$F$6)),ISNUMBER(SEARCH(Ref!$H149,Ref!$F$7)),ISNUMBER(SEARCH(Ref!$H149,Ref!$F$8))),"",1)</f>
        <v>1</v>
      </c>
    </row>
    <row r="156" spans="1:9" ht="48" hidden="1" customHeight="1" x14ac:dyDescent="0.25">
      <c r="A156" s="30"/>
      <c r="B156" s="94"/>
      <c r="C156" s="87" t="s">
        <v>121</v>
      </c>
      <c r="D156" s="87"/>
      <c r="E156" s="6"/>
      <c r="F156" s="87" t="s">
        <v>133</v>
      </c>
      <c r="G156" s="95"/>
      <c r="I156">
        <f>IF(OR(ISNUMBER(SEARCH(Ref!$H150,Ref!$F$2)),ISNUMBER(SEARCH(Ref!$H150,Ref!$F$3)),ISNUMBER(SEARCH(Ref!$H150,Ref!$F$4)),ISNUMBER(SEARCH(Ref!$H150,Ref!$F$5)),ISNUMBER(SEARCH(Ref!$H150,Ref!$F$6)),ISNUMBER(SEARCH(Ref!$H150,Ref!$F$7)),ISNUMBER(SEARCH(Ref!$H150,Ref!$F$8))),"",1)</f>
        <v>1</v>
      </c>
    </row>
    <row r="157" spans="1:9" ht="48" hidden="1" customHeight="1" x14ac:dyDescent="0.25">
      <c r="A157" s="30"/>
      <c r="B157" s="94"/>
      <c r="C157" s="87" t="s">
        <v>121</v>
      </c>
      <c r="D157" s="87"/>
      <c r="E157" s="6"/>
      <c r="F157" s="87" t="s">
        <v>134</v>
      </c>
      <c r="G157" s="95"/>
      <c r="I157">
        <f>IF(OR(ISNUMBER(SEARCH(Ref!$H151,Ref!$F$2)),ISNUMBER(SEARCH(Ref!$H151,Ref!$F$3)),ISNUMBER(SEARCH(Ref!$H151,Ref!$F$4)),ISNUMBER(SEARCH(Ref!$H151,Ref!$F$5)),ISNUMBER(SEARCH(Ref!$H151,Ref!$F$6)),ISNUMBER(SEARCH(Ref!$H151,Ref!$F$7)),ISNUMBER(SEARCH(Ref!$H151,Ref!$F$8))),"",1)</f>
        <v>1</v>
      </c>
    </row>
    <row r="158" spans="1:9" ht="48" hidden="1" customHeight="1" x14ac:dyDescent="0.25">
      <c r="A158" s="30"/>
      <c r="B158" s="94"/>
      <c r="C158" s="87" t="s">
        <v>121</v>
      </c>
      <c r="D158" s="87"/>
      <c r="E158" s="6"/>
      <c r="F158" s="87" t="s">
        <v>135</v>
      </c>
      <c r="G158" s="95"/>
      <c r="I158">
        <f>IF(OR(ISNUMBER(SEARCH(Ref!$H152,Ref!$F$2)),ISNUMBER(SEARCH(Ref!$H152,Ref!$F$3)),ISNUMBER(SEARCH(Ref!$H152,Ref!$F$4)),ISNUMBER(SEARCH(Ref!$H152,Ref!$F$5)),ISNUMBER(SEARCH(Ref!$H152,Ref!$F$6)),ISNUMBER(SEARCH(Ref!$H152,Ref!$F$7)),ISNUMBER(SEARCH(Ref!$H152,Ref!$F$8))),"",1)</f>
        <v>1</v>
      </c>
    </row>
    <row r="159" spans="1:9" ht="48" hidden="1" customHeight="1" x14ac:dyDescent="0.25">
      <c r="A159" s="30"/>
      <c r="B159" s="94"/>
      <c r="C159" s="87" t="s">
        <v>121</v>
      </c>
      <c r="D159" s="87"/>
      <c r="E159" s="6"/>
      <c r="F159" s="87" t="s">
        <v>136</v>
      </c>
      <c r="G159" s="95"/>
      <c r="I159">
        <f>IF(OR(ISNUMBER(SEARCH(Ref!$H153,Ref!$F$2)),ISNUMBER(SEARCH(Ref!$H153,Ref!$F$3)),ISNUMBER(SEARCH(Ref!$H153,Ref!$F$4)),ISNUMBER(SEARCH(Ref!$H153,Ref!$F$5)),ISNUMBER(SEARCH(Ref!$H153,Ref!$F$6)),ISNUMBER(SEARCH(Ref!$H153,Ref!$F$7)),ISNUMBER(SEARCH(Ref!$H153,Ref!$F$8))),"",1)</f>
        <v>1</v>
      </c>
    </row>
    <row r="160" spans="1:9" ht="48" hidden="1" customHeight="1" x14ac:dyDescent="0.25">
      <c r="A160" s="30"/>
      <c r="B160" s="94"/>
      <c r="C160" s="87" t="s">
        <v>121</v>
      </c>
      <c r="D160" s="87"/>
      <c r="E160" s="6"/>
      <c r="F160" s="87" t="s">
        <v>137</v>
      </c>
      <c r="G160" s="95"/>
      <c r="I160">
        <f>IF(OR(ISNUMBER(SEARCH(Ref!$H154,Ref!$F$2)),ISNUMBER(SEARCH(Ref!$H154,Ref!$F$3)),ISNUMBER(SEARCH(Ref!$H154,Ref!$F$4)),ISNUMBER(SEARCH(Ref!$H154,Ref!$F$5)),ISNUMBER(SEARCH(Ref!$H154,Ref!$F$6)),ISNUMBER(SEARCH(Ref!$H154,Ref!$F$7)),ISNUMBER(SEARCH(Ref!$H154,Ref!$F$8))),"",1)</f>
        <v>1</v>
      </c>
    </row>
    <row r="161" spans="1:9" ht="48" hidden="1" customHeight="1" x14ac:dyDescent="0.25">
      <c r="A161" s="30"/>
      <c r="B161" s="94"/>
      <c r="C161" s="87" t="s">
        <v>121</v>
      </c>
      <c r="D161" s="87"/>
      <c r="E161" s="6"/>
      <c r="F161" s="87" t="s">
        <v>138</v>
      </c>
      <c r="G161" s="95"/>
      <c r="I161">
        <f>IF(OR(ISNUMBER(SEARCH(Ref!$H155,Ref!$F$2)),ISNUMBER(SEARCH(Ref!$H155,Ref!$F$3)),ISNUMBER(SEARCH(Ref!$H155,Ref!$F$4)),ISNUMBER(SEARCH(Ref!$H155,Ref!$F$5)),ISNUMBER(SEARCH(Ref!$H155,Ref!$F$6)),ISNUMBER(SEARCH(Ref!$H155,Ref!$F$7)),ISNUMBER(SEARCH(Ref!$H155,Ref!$F$8))),"",1)</f>
        <v>1</v>
      </c>
    </row>
    <row r="162" spans="1:9" ht="48" hidden="1" customHeight="1" x14ac:dyDescent="0.25">
      <c r="A162" s="30"/>
      <c r="B162" s="94"/>
      <c r="C162" s="87" t="s">
        <v>121</v>
      </c>
      <c r="D162" s="87"/>
      <c r="E162" s="6"/>
      <c r="F162" s="87" t="s">
        <v>139</v>
      </c>
      <c r="G162" s="95"/>
      <c r="I162">
        <f>IF(OR(ISNUMBER(SEARCH(Ref!$H156,Ref!$F$2)),ISNUMBER(SEARCH(Ref!$H156,Ref!$F$3)),ISNUMBER(SEARCH(Ref!$H156,Ref!$F$4)),ISNUMBER(SEARCH(Ref!$H156,Ref!$F$5)),ISNUMBER(SEARCH(Ref!$H156,Ref!$F$6)),ISNUMBER(SEARCH(Ref!$H156,Ref!$F$7)),ISNUMBER(SEARCH(Ref!$H156,Ref!$F$8))),"",1)</f>
        <v>1</v>
      </c>
    </row>
    <row r="163" spans="1:9" ht="48" hidden="1" customHeight="1" x14ac:dyDescent="0.25">
      <c r="A163" s="30"/>
      <c r="B163" s="94"/>
      <c r="C163" s="87" t="s">
        <v>88</v>
      </c>
      <c r="D163" s="87"/>
      <c r="E163" s="6"/>
      <c r="F163" s="87" t="s">
        <v>124</v>
      </c>
      <c r="G163" s="95"/>
      <c r="I163">
        <f>IF(OR(ISNUMBER(SEARCH(Ref!$H157,Ref!$F$2)),ISNUMBER(SEARCH(Ref!$H157,Ref!$F$3)),ISNUMBER(SEARCH(Ref!$H157,Ref!$F$4)),ISNUMBER(SEARCH(Ref!$H157,Ref!$F$5)),ISNUMBER(SEARCH(Ref!$H157,Ref!$F$6)),ISNUMBER(SEARCH(Ref!$H157,Ref!$F$7)),ISNUMBER(SEARCH(Ref!$H157,Ref!$F$8))),"",1)</f>
        <v>1</v>
      </c>
    </row>
    <row r="164" spans="1:9" ht="48" hidden="1" customHeight="1" x14ac:dyDescent="0.25">
      <c r="A164" s="30"/>
      <c r="B164" s="94"/>
      <c r="C164" s="87" t="s">
        <v>88</v>
      </c>
      <c r="D164" s="87"/>
      <c r="E164" s="6"/>
      <c r="F164" s="87" t="s">
        <v>95</v>
      </c>
      <c r="G164" s="95"/>
      <c r="I164">
        <f>IF(OR(ISNUMBER(SEARCH(Ref!$H158,Ref!$F$2)),ISNUMBER(SEARCH(Ref!$H158,Ref!$F$3)),ISNUMBER(SEARCH(Ref!$H158,Ref!$F$4)),ISNUMBER(SEARCH(Ref!$H158,Ref!$F$5)),ISNUMBER(SEARCH(Ref!$H158,Ref!$F$6)),ISNUMBER(SEARCH(Ref!$H158,Ref!$F$7)),ISNUMBER(SEARCH(Ref!$H158,Ref!$F$8))),"",1)</f>
        <v>1</v>
      </c>
    </row>
    <row r="165" spans="1:9" ht="48" hidden="1" customHeight="1" x14ac:dyDescent="0.25">
      <c r="A165" s="30"/>
      <c r="B165" s="94"/>
      <c r="C165" s="87" t="s">
        <v>88</v>
      </c>
      <c r="D165" s="87"/>
      <c r="E165" s="6"/>
      <c r="F165" s="87" t="s">
        <v>125</v>
      </c>
      <c r="G165" s="95"/>
      <c r="I165">
        <f>IF(OR(ISNUMBER(SEARCH(Ref!$H159,Ref!$F$2)),ISNUMBER(SEARCH(Ref!$H159,Ref!$F$3)),ISNUMBER(SEARCH(Ref!$H159,Ref!$F$4)),ISNUMBER(SEARCH(Ref!$H159,Ref!$F$5)),ISNUMBER(SEARCH(Ref!$H159,Ref!$F$6)),ISNUMBER(SEARCH(Ref!$H159,Ref!$F$7)),ISNUMBER(SEARCH(Ref!$H159,Ref!$F$8))),"",1)</f>
        <v>1</v>
      </c>
    </row>
    <row r="166" spans="1:9" ht="48" hidden="1" customHeight="1" x14ac:dyDescent="0.25">
      <c r="A166" s="30"/>
      <c r="B166" s="94"/>
      <c r="C166" s="87" t="s">
        <v>88</v>
      </c>
      <c r="D166" s="87"/>
      <c r="E166" s="6"/>
      <c r="F166" s="87" t="s">
        <v>126</v>
      </c>
      <c r="G166" s="95"/>
      <c r="I166">
        <f>IF(OR(ISNUMBER(SEARCH(Ref!$H160,Ref!$F$2)),ISNUMBER(SEARCH(Ref!$H160,Ref!$F$3)),ISNUMBER(SEARCH(Ref!$H160,Ref!$F$4)),ISNUMBER(SEARCH(Ref!$H160,Ref!$F$5)),ISNUMBER(SEARCH(Ref!$H160,Ref!$F$6)),ISNUMBER(SEARCH(Ref!$H160,Ref!$F$7)),ISNUMBER(SEARCH(Ref!$H160,Ref!$F$8))),"",1)</f>
        <v>1</v>
      </c>
    </row>
    <row r="167" spans="1:9" ht="48" hidden="1" customHeight="1" x14ac:dyDescent="0.25">
      <c r="A167" s="30"/>
      <c r="B167" s="94"/>
      <c r="C167" s="87" t="s">
        <v>88</v>
      </c>
      <c r="D167" s="87"/>
      <c r="E167" s="6"/>
      <c r="F167" s="87" t="s">
        <v>127</v>
      </c>
      <c r="G167" s="95"/>
      <c r="I167">
        <f>IF(OR(ISNUMBER(SEARCH(Ref!$H161,Ref!$F$2)),ISNUMBER(SEARCH(Ref!$H161,Ref!$F$3)),ISNUMBER(SEARCH(Ref!$H161,Ref!$F$4)),ISNUMBER(SEARCH(Ref!$H161,Ref!$F$5)),ISNUMBER(SEARCH(Ref!$H161,Ref!$F$6)),ISNUMBER(SEARCH(Ref!$H161,Ref!$F$7)),ISNUMBER(SEARCH(Ref!$H161,Ref!$F$8))),"",1)</f>
        <v>1</v>
      </c>
    </row>
    <row r="168" spans="1:9" ht="48" hidden="1" customHeight="1" x14ac:dyDescent="0.25">
      <c r="A168" s="30"/>
      <c r="B168" s="94"/>
      <c r="C168" s="87" t="s">
        <v>88</v>
      </c>
      <c r="D168" s="87"/>
      <c r="E168" s="6"/>
      <c r="F168" s="87" t="s">
        <v>128</v>
      </c>
      <c r="G168" s="95"/>
      <c r="I168">
        <f>IF(OR(ISNUMBER(SEARCH(Ref!$H162,Ref!$F$2)),ISNUMBER(SEARCH(Ref!$H162,Ref!$F$3)),ISNUMBER(SEARCH(Ref!$H162,Ref!$F$4)),ISNUMBER(SEARCH(Ref!$H162,Ref!$F$5)),ISNUMBER(SEARCH(Ref!$H162,Ref!$F$6)),ISNUMBER(SEARCH(Ref!$H162,Ref!$F$7)),ISNUMBER(SEARCH(Ref!$H162,Ref!$F$8))),"",1)</f>
        <v>1</v>
      </c>
    </row>
    <row r="169" spans="1:9" ht="48" hidden="1" customHeight="1" x14ac:dyDescent="0.25">
      <c r="A169" s="30"/>
      <c r="B169" s="94"/>
      <c r="C169" s="87" t="s">
        <v>88</v>
      </c>
      <c r="D169" s="87"/>
      <c r="E169" s="6"/>
      <c r="F169" s="87" t="s">
        <v>129</v>
      </c>
      <c r="G169" s="95"/>
      <c r="I169">
        <f>IF(OR(ISNUMBER(SEARCH(Ref!$H163,Ref!$F$2)),ISNUMBER(SEARCH(Ref!$H163,Ref!$F$3)),ISNUMBER(SEARCH(Ref!$H163,Ref!$F$4)),ISNUMBER(SEARCH(Ref!$H163,Ref!$F$5)),ISNUMBER(SEARCH(Ref!$H163,Ref!$F$6)),ISNUMBER(SEARCH(Ref!$H163,Ref!$F$7)),ISNUMBER(SEARCH(Ref!$H163,Ref!$F$8))),"",1)</f>
        <v>1</v>
      </c>
    </row>
    <row r="170" spans="1:9" ht="48" hidden="1" customHeight="1" x14ac:dyDescent="0.25">
      <c r="A170" s="30"/>
      <c r="B170" s="94"/>
      <c r="C170" s="87" t="s">
        <v>88</v>
      </c>
      <c r="D170" s="87"/>
      <c r="E170" s="6"/>
      <c r="F170" s="87" t="s">
        <v>130</v>
      </c>
      <c r="G170" s="95"/>
      <c r="I170">
        <f>IF(OR(ISNUMBER(SEARCH(Ref!$H164,Ref!$F$2)),ISNUMBER(SEARCH(Ref!$H164,Ref!$F$3)),ISNUMBER(SEARCH(Ref!$H164,Ref!$F$4)),ISNUMBER(SEARCH(Ref!$H164,Ref!$F$5)),ISNUMBER(SEARCH(Ref!$H164,Ref!$F$6)),ISNUMBER(SEARCH(Ref!$H164,Ref!$F$7)),ISNUMBER(SEARCH(Ref!$H164,Ref!$F$8))),"",1)</f>
        <v>1</v>
      </c>
    </row>
    <row r="171" spans="1:9" ht="48" hidden="1" customHeight="1" x14ac:dyDescent="0.25">
      <c r="A171" s="30"/>
      <c r="B171" s="94"/>
      <c r="C171" s="87" t="s">
        <v>88</v>
      </c>
      <c r="D171" s="87"/>
      <c r="E171" s="6"/>
      <c r="F171" s="87" t="s">
        <v>131</v>
      </c>
      <c r="G171" s="95"/>
      <c r="I171">
        <f>IF(OR(ISNUMBER(SEARCH(Ref!$H165,Ref!$F$2)),ISNUMBER(SEARCH(Ref!$H165,Ref!$F$3)),ISNUMBER(SEARCH(Ref!$H165,Ref!$F$4)),ISNUMBER(SEARCH(Ref!$H165,Ref!$F$5)),ISNUMBER(SEARCH(Ref!$H165,Ref!$F$6)),ISNUMBER(SEARCH(Ref!$H165,Ref!$F$7)),ISNUMBER(SEARCH(Ref!$H165,Ref!$F$8))),"",1)</f>
        <v>1</v>
      </c>
    </row>
    <row r="172" spans="1:9" ht="48" hidden="1" customHeight="1" x14ac:dyDescent="0.25">
      <c r="A172" s="30"/>
      <c r="B172" s="94"/>
      <c r="C172" s="87" t="s">
        <v>88</v>
      </c>
      <c r="D172" s="87"/>
      <c r="E172" s="6"/>
      <c r="F172" s="87" t="s">
        <v>132</v>
      </c>
      <c r="G172" s="95"/>
      <c r="I172">
        <f>IF(OR(ISNUMBER(SEARCH(Ref!$H166,Ref!$F$2)),ISNUMBER(SEARCH(Ref!$H166,Ref!$F$3)),ISNUMBER(SEARCH(Ref!$H166,Ref!$F$4)),ISNUMBER(SEARCH(Ref!$H166,Ref!$F$5)),ISNUMBER(SEARCH(Ref!$H166,Ref!$F$6)),ISNUMBER(SEARCH(Ref!$H166,Ref!$F$7)),ISNUMBER(SEARCH(Ref!$H166,Ref!$F$8))),"",1)</f>
        <v>1</v>
      </c>
    </row>
    <row r="173" spans="1:9" ht="48" hidden="1" customHeight="1" x14ac:dyDescent="0.25">
      <c r="A173" s="30"/>
      <c r="B173" s="94"/>
      <c r="C173" s="87" t="s">
        <v>88</v>
      </c>
      <c r="D173" s="87"/>
      <c r="E173" s="6"/>
      <c r="F173" s="87" t="s">
        <v>133</v>
      </c>
      <c r="G173" s="95"/>
      <c r="I173">
        <f>IF(OR(ISNUMBER(SEARCH(Ref!$H167,Ref!$F$2)),ISNUMBER(SEARCH(Ref!$H167,Ref!$F$3)),ISNUMBER(SEARCH(Ref!$H167,Ref!$F$4)),ISNUMBER(SEARCH(Ref!$H167,Ref!$F$5)),ISNUMBER(SEARCH(Ref!$H167,Ref!$F$6)),ISNUMBER(SEARCH(Ref!$H167,Ref!$F$7)),ISNUMBER(SEARCH(Ref!$H167,Ref!$F$8))),"",1)</f>
        <v>1</v>
      </c>
    </row>
    <row r="174" spans="1:9" ht="48" hidden="1" customHeight="1" x14ac:dyDescent="0.25">
      <c r="A174" s="30"/>
      <c r="B174" s="94"/>
      <c r="C174" s="87" t="s">
        <v>88</v>
      </c>
      <c r="D174" s="87"/>
      <c r="E174" s="6"/>
      <c r="F174" s="87" t="s">
        <v>134</v>
      </c>
      <c r="G174" s="95"/>
      <c r="I174">
        <f>IF(OR(ISNUMBER(SEARCH(Ref!$H168,Ref!$F$2)),ISNUMBER(SEARCH(Ref!$H168,Ref!$F$3)),ISNUMBER(SEARCH(Ref!$H168,Ref!$F$4)),ISNUMBER(SEARCH(Ref!$H168,Ref!$F$5)),ISNUMBER(SEARCH(Ref!$H168,Ref!$F$6)),ISNUMBER(SEARCH(Ref!$H168,Ref!$F$7)),ISNUMBER(SEARCH(Ref!$H168,Ref!$F$8))),"",1)</f>
        <v>1</v>
      </c>
    </row>
    <row r="175" spans="1:9" ht="48" hidden="1" customHeight="1" x14ac:dyDescent="0.25">
      <c r="A175" s="30"/>
      <c r="B175" s="94"/>
      <c r="C175" s="87" t="s">
        <v>88</v>
      </c>
      <c r="D175" s="87"/>
      <c r="E175" s="6"/>
      <c r="F175" s="87" t="s">
        <v>135</v>
      </c>
      <c r="G175" s="95"/>
      <c r="I175">
        <f>IF(OR(ISNUMBER(SEARCH(Ref!$H169,Ref!$F$2)),ISNUMBER(SEARCH(Ref!$H169,Ref!$F$3)),ISNUMBER(SEARCH(Ref!$H169,Ref!$F$4)),ISNUMBER(SEARCH(Ref!$H169,Ref!$F$5)),ISNUMBER(SEARCH(Ref!$H169,Ref!$F$6)),ISNUMBER(SEARCH(Ref!$H169,Ref!$F$7)),ISNUMBER(SEARCH(Ref!$H169,Ref!$F$8))),"",1)</f>
        <v>1</v>
      </c>
    </row>
    <row r="176" spans="1:9" ht="48" hidden="1" customHeight="1" x14ac:dyDescent="0.25">
      <c r="A176" s="30"/>
      <c r="B176" s="94"/>
      <c r="C176" s="87" t="s">
        <v>88</v>
      </c>
      <c r="D176" s="87"/>
      <c r="E176" s="6"/>
      <c r="F176" s="87" t="s">
        <v>136</v>
      </c>
      <c r="G176" s="95"/>
      <c r="I176">
        <f>IF(OR(ISNUMBER(SEARCH(Ref!$H170,Ref!$F$2)),ISNUMBER(SEARCH(Ref!$H170,Ref!$F$3)),ISNUMBER(SEARCH(Ref!$H170,Ref!$F$4)),ISNUMBER(SEARCH(Ref!$H170,Ref!$F$5)),ISNUMBER(SEARCH(Ref!$H170,Ref!$F$6)),ISNUMBER(SEARCH(Ref!$H170,Ref!$F$7)),ISNUMBER(SEARCH(Ref!$H170,Ref!$F$8))),"",1)</f>
        <v>1</v>
      </c>
    </row>
    <row r="177" spans="1:9" ht="48" hidden="1" customHeight="1" x14ac:dyDescent="0.25">
      <c r="A177" s="30"/>
      <c r="B177" s="94"/>
      <c r="C177" s="87" t="s">
        <v>88</v>
      </c>
      <c r="D177" s="87"/>
      <c r="E177" s="6"/>
      <c r="F177" s="87" t="s">
        <v>137</v>
      </c>
      <c r="G177" s="95"/>
      <c r="I177">
        <f>IF(OR(ISNUMBER(SEARCH(Ref!$H171,Ref!$F$2)),ISNUMBER(SEARCH(Ref!$H171,Ref!$F$3)),ISNUMBER(SEARCH(Ref!$H171,Ref!$F$4)),ISNUMBER(SEARCH(Ref!$H171,Ref!$F$5)),ISNUMBER(SEARCH(Ref!$H171,Ref!$F$6)),ISNUMBER(SEARCH(Ref!$H171,Ref!$F$7)),ISNUMBER(SEARCH(Ref!$H171,Ref!$F$8))),"",1)</f>
        <v>1</v>
      </c>
    </row>
    <row r="178" spans="1:9" ht="48" hidden="1" customHeight="1" x14ac:dyDescent="0.25">
      <c r="A178" s="30"/>
      <c r="B178" s="94"/>
      <c r="C178" s="87" t="s">
        <v>88</v>
      </c>
      <c r="D178" s="87"/>
      <c r="E178" s="6"/>
      <c r="F178" s="87" t="s">
        <v>138</v>
      </c>
      <c r="G178" s="95"/>
      <c r="I178">
        <f>IF(OR(ISNUMBER(SEARCH(Ref!$H172,Ref!$F$2)),ISNUMBER(SEARCH(Ref!$H172,Ref!$F$3)),ISNUMBER(SEARCH(Ref!$H172,Ref!$F$4)),ISNUMBER(SEARCH(Ref!$H172,Ref!$F$5)),ISNUMBER(SEARCH(Ref!$H172,Ref!$F$6)),ISNUMBER(SEARCH(Ref!$H172,Ref!$F$7)),ISNUMBER(SEARCH(Ref!$H172,Ref!$F$8))),"",1)</f>
        <v>1</v>
      </c>
    </row>
    <row r="179" spans="1:9" ht="48" hidden="1" customHeight="1" x14ac:dyDescent="0.25">
      <c r="A179" s="30"/>
      <c r="B179" s="94"/>
      <c r="C179" s="87" t="s">
        <v>88</v>
      </c>
      <c r="D179" s="87"/>
      <c r="E179" s="6"/>
      <c r="F179" s="87" t="s">
        <v>139</v>
      </c>
      <c r="G179" s="95"/>
      <c r="I179">
        <f>IF(OR(ISNUMBER(SEARCH(Ref!$H173,Ref!$F$2)),ISNUMBER(SEARCH(Ref!$H173,Ref!$F$3)),ISNUMBER(SEARCH(Ref!$H173,Ref!$F$4)),ISNUMBER(SEARCH(Ref!$H173,Ref!$F$5)),ISNUMBER(SEARCH(Ref!$H173,Ref!$F$6)),ISNUMBER(SEARCH(Ref!$H173,Ref!$F$7)),ISNUMBER(SEARCH(Ref!$H173,Ref!$F$8))),"",1)</f>
        <v>1</v>
      </c>
    </row>
    <row r="180" spans="1:9" ht="48" hidden="1" customHeight="1" x14ac:dyDescent="0.25">
      <c r="A180" s="30"/>
      <c r="B180" s="94"/>
      <c r="C180" s="87" t="s">
        <v>122</v>
      </c>
      <c r="D180" s="87"/>
      <c r="E180" s="6"/>
      <c r="F180" s="87" t="s">
        <v>95</v>
      </c>
      <c r="G180" s="95"/>
      <c r="I180">
        <f>IF(OR(ISNUMBER(SEARCH(Ref!$H174,Ref!$F$2)),ISNUMBER(SEARCH(Ref!$H174,Ref!$F$3)),ISNUMBER(SEARCH(Ref!$H174,Ref!$F$4)),ISNUMBER(SEARCH(Ref!$H174,Ref!$F$5)),ISNUMBER(SEARCH(Ref!$H174,Ref!$F$6)),ISNUMBER(SEARCH(Ref!$H174,Ref!$F$7)),ISNUMBER(SEARCH(Ref!$H174,Ref!$F$8))),"",1)</f>
        <v>1</v>
      </c>
    </row>
    <row r="181" spans="1:9" ht="48" hidden="1" customHeight="1" x14ac:dyDescent="0.25">
      <c r="A181" s="30"/>
      <c r="B181" s="94"/>
      <c r="C181" s="87" t="s">
        <v>122</v>
      </c>
      <c r="D181" s="87"/>
      <c r="E181" s="6"/>
      <c r="F181" s="87" t="s">
        <v>125</v>
      </c>
      <c r="G181" s="95"/>
      <c r="I181">
        <f>IF(OR(ISNUMBER(SEARCH(Ref!$H175,Ref!$F$2)),ISNUMBER(SEARCH(Ref!$H175,Ref!$F$3)),ISNUMBER(SEARCH(Ref!$H175,Ref!$F$4)),ISNUMBER(SEARCH(Ref!$H175,Ref!$F$5)),ISNUMBER(SEARCH(Ref!$H175,Ref!$F$6)),ISNUMBER(SEARCH(Ref!$H175,Ref!$F$7)),ISNUMBER(SEARCH(Ref!$H175,Ref!$F$8))),"",1)</f>
        <v>1</v>
      </c>
    </row>
    <row r="182" spans="1:9" ht="48" hidden="1" customHeight="1" x14ac:dyDescent="0.25">
      <c r="A182" s="30"/>
      <c r="B182" s="94"/>
      <c r="C182" s="87" t="s">
        <v>122</v>
      </c>
      <c r="D182" s="87"/>
      <c r="E182" s="6"/>
      <c r="F182" s="87" t="s">
        <v>126</v>
      </c>
      <c r="G182" s="95"/>
      <c r="I182">
        <f>IF(OR(ISNUMBER(SEARCH(Ref!$H176,Ref!$F$2)),ISNUMBER(SEARCH(Ref!$H176,Ref!$F$3)),ISNUMBER(SEARCH(Ref!$H176,Ref!$F$4)),ISNUMBER(SEARCH(Ref!$H176,Ref!$F$5)),ISNUMBER(SEARCH(Ref!$H176,Ref!$F$6)),ISNUMBER(SEARCH(Ref!$H176,Ref!$F$7)),ISNUMBER(SEARCH(Ref!$H176,Ref!$F$8))),"",1)</f>
        <v>1</v>
      </c>
    </row>
    <row r="183" spans="1:9" ht="48" hidden="1" customHeight="1" x14ac:dyDescent="0.25">
      <c r="A183" s="30"/>
      <c r="B183" s="94"/>
      <c r="C183" s="87" t="s">
        <v>122</v>
      </c>
      <c r="D183" s="87"/>
      <c r="E183" s="6"/>
      <c r="F183" s="87" t="s">
        <v>127</v>
      </c>
      <c r="G183" s="95"/>
      <c r="I183">
        <f>IF(OR(ISNUMBER(SEARCH(Ref!$H177,Ref!$F$2)),ISNUMBER(SEARCH(Ref!$H177,Ref!$F$3)),ISNUMBER(SEARCH(Ref!$H177,Ref!$F$4)),ISNUMBER(SEARCH(Ref!$H177,Ref!$F$5)),ISNUMBER(SEARCH(Ref!$H177,Ref!$F$6)),ISNUMBER(SEARCH(Ref!$H177,Ref!$F$7)),ISNUMBER(SEARCH(Ref!$H177,Ref!$F$8))),"",1)</f>
        <v>1</v>
      </c>
    </row>
    <row r="184" spans="1:9" ht="48" hidden="1" customHeight="1" x14ac:dyDescent="0.25">
      <c r="A184" s="30"/>
      <c r="B184" s="94"/>
      <c r="C184" s="87" t="s">
        <v>122</v>
      </c>
      <c r="D184" s="87"/>
      <c r="E184" s="6"/>
      <c r="F184" s="87" t="s">
        <v>128</v>
      </c>
      <c r="G184" s="95"/>
      <c r="I184">
        <f>IF(OR(ISNUMBER(SEARCH(Ref!$H178,Ref!$F$2)),ISNUMBER(SEARCH(Ref!$H178,Ref!$F$3)),ISNUMBER(SEARCH(Ref!$H178,Ref!$F$4)),ISNUMBER(SEARCH(Ref!$H178,Ref!$F$5)),ISNUMBER(SEARCH(Ref!$H178,Ref!$F$6)),ISNUMBER(SEARCH(Ref!$H178,Ref!$F$7)),ISNUMBER(SEARCH(Ref!$H178,Ref!$F$8))),"",1)</f>
        <v>1</v>
      </c>
    </row>
    <row r="185" spans="1:9" ht="48" hidden="1" customHeight="1" x14ac:dyDescent="0.25">
      <c r="A185" s="30"/>
      <c r="B185" s="94"/>
      <c r="C185" s="87" t="s">
        <v>122</v>
      </c>
      <c r="D185" s="87"/>
      <c r="E185" s="6"/>
      <c r="F185" s="87" t="s">
        <v>129</v>
      </c>
      <c r="G185" s="95"/>
      <c r="I185">
        <f>IF(OR(ISNUMBER(SEARCH(Ref!$H179,Ref!$F$2)),ISNUMBER(SEARCH(Ref!$H179,Ref!$F$3)),ISNUMBER(SEARCH(Ref!$H179,Ref!$F$4)),ISNUMBER(SEARCH(Ref!$H179,Ref!$F$5)),ISNUMBER(SEARCH(Ref!$H179,Ref!$F$6)),ISNUMBER(SEARCH(Ref!$H179,Ref!$F$7)),ISNUMBER(SEARCH(Ref!$H179,Ref!$F$8))),"",1)</f>
        <v>1</v>
      </c>
    </row>
    <row r="186" spans="1:9" ht="48" hidden="1" customHeight="1" x14ac:dyDescent="0.25">
      <c r="A186" s="30"/>
      <c r="B186" s="94"/>
      <c r="C186" s="87" t="s">
        <v>122</v>
      </c>
      <c r="D186" s="87"/>
      <c r="E186" s="6"/>
      <c r="F186" s="87" t="s">
        <v>130</v>
      </c>
      <c r="G186" s="95"/>
      <c r="I186">
        <f>IF(OR(ISNUMBER(SEARCH(Ref!$H180,Ref!$F$2)),ISNUMBER(SEARCH(Ref!$H180,Ref!$F$3)),ISNUMBER(SEARCH(Ref!$H180,Ref!$F$4)),ISNUMBER(SEARCH(Ref!$H180,Ref!$F$5)),ISNUMBER(SEARCH(Ref!$H180,Ref!$F$6)),ISNUMBER(SEARCH(Ref!$H180,Ref!$F$7)),ISNUMBER(SEARCH(Ref!$H180,Ref!$F$8))),"",1)</f>
        <v>1</v>
      </c>
    </row>
    <row r="187" spans="1:9" ht="48" hidden="1" customHeight="1" x14ac:dyDescent="0.25">
      <c r="A187" s="30"/>
      <c r="B187" s="94"/>
      <c r="C187" s="87" t="s">
        <v>122</v>
      </c>
      <c r="D187" s="87"/>
      <c r="E187" s="6"/>
      <c r="F187" s="87" t="s">
        <v>131</v>
      </c>
      <c r="G187" s="95"/>
      <c r="I187">
        <f>IF(OR(ISNUMBER(SEARCH(Ref!$H181,Ref!$F$2)),ISNUMBER(SEARCH(Ref!$H181,Ref!$F$3)),ISNUMBER(SEARCH(Ref!$H181,Ref!$F$4)),ISNUMBER(SEARCH(Ref!$H181,Ref!$F$5)),ISNUMBER(SEARCH(Ref!$H181,Ref!$F$6)),ISNUMBER(SEARCH(Ref!$H181,Ref!$F$7)),ISNUMBER(SEARCH(Ref!$H181,Ref!$F$8))),"",1)</f>
        <v>1</v>
      </c>
    </row>
    <row r="188" spans="1:9" ht="48" hidden="1" customHeight="1" x14ac:dyDescent="0.25">
      <c r="A188" s="30"/>
      <c r="B188" s="94"/>
      <c r="C188" s="87" t="s">
        <v>122</v>
      </c>
      <c r="D188" s="87"/>
      <c r="E188" s="6"/>
      <c r="F188" s="87" t="s">
        <v>132</v>
      </c>
      <c r="G188" s="95"/>
      <c r="I188">
        <f>IF(OR(ISNUMBER(SEARCH(Ref!$H182,Ref!$F$2)),ISNUMBER(SEARCH(Ref!$H182,Ref!$F$3)),ISNUMBER(SEARCH(Ref!$H182,Ref!$F$4)),ISNUMBER(SEARCH(Ref!$H182,Ref!$F$5)),ISNUMBER(SEARCH(Ref!$H182,Ref!$F$6)),ISNUMBER(SEARCH(Ref!$H182,Ref!$F$7)),ISNUMBER(SEARCH(Ref!$H182,Ref!$F$8))),"",1)</f>
        <v>1</v>
      </c>
    </row>
    <row r="189" spans="1:9" ht="48" hidden="1" customHeight="1" x14ac:dyDescent="0.25">
      <c r="A189" s="30"/>
      <c r="B189" s="94"/>
      <c r="C189" s="87" t="s">
        <v>122</v>
      </c>
      <c r="D189" s="87"/>
      <c r="E189" s="6"/>
      <c r="F189" s="87" t="s">
        <v>133</v>
      </c>
      <c r="G189" s="95"/>
      <c r="I189">
        <f>IF(OR(ISNUMBER(SEARCH(Ref!$H183,Ref!$F$2)),ISNUMBER(SEARCH(Ref!$H183,Ref!$F$3)),ISNUMBER(SEARCH(Ref!$H183,Ref!$F$4)),ISNUMBER(SEARCH(Ref!$H183,Ref!$F$5)),ISNUMBER(SEARCH(Ref!$H183,Ref!$F$6)),ISNUMBER(SEARCH(Ref!$H183,Ref!$F$7)),ISNUMBER(SEARCH(Ref!$H183,Ref!$F$8))),"",1)</f>
        <v>1</v>
      </c>
    </row>
    <row r="190" spans="1:9" ht="48" hidden="1" customHeight="1" x14ac:dyDescent="0.25">
      <c r="A190" s="30"/>
      <c r="B190" s="94"/>
      <c r="C190" s="87" t="s">
        <v>122</v>
      </c>
      <c r="D190" s="87"/>
      <c r="E190" s="6"/>
      <c r="F190" s="87" t="s">
        <v>134</v>
      </c>
      <c r="G190" s="95"/>
      <c r="I190">
        <f>IF(OR(ISNUMBER(SEARCH(Ref!$H184,Ref!$F$2)),ISNUMBER(SEARCH(Ref!$H184,Ref!$F$3)),ISNUMBER(SEARCH(Ref!$H184,Ref!$F$4)),ISNUMBER(SEARCH(Ref!$H184,Ref!$F$5)),ISNUMBER(SEARCH(Ref!$H184,Ref!$F$6)),ISNUMBER(SEARCH(Ref!$H184,Ref!$F$7)),ISNUMBER(SEARCH(Ref!$H184,Ref!$F$8))),"",1)</f>
        <v>1</v>
      </c>
    </row>
    <row r="191" spans="1:9" ht="48" hidden="1" customHeight="1" x14ac:dyDescent="0.25">
      <c r="A191" s="30"/>
      <c r="B191" s="94"/>
      <c r="C191" s="87" t="s">
        <v>122</v>
      </c>
      <c r="D191" s="87"/>
      <c r="E191" s="6"/>
      <c r="F191" s="87" t="s">
        <v>135</v>
      </c>
      <c r="G191" s="95"/>
      <c r="I191">
        <f>IF(OR(ISNUMBER(SEARCH(Ref!$H185,Ref!$F$2)),ISNUMBER(SEARCH(Ref!$H185,Ref!$F$3)),ISNUMBER(SEARCH(Ref!$H185,Ref!$F$4)),ISNUMBER(SEARCH(Ref!$H185,Ref!$F$5)),ISNUMBER(SEARCH(Ref!$H185,Ref!$F$6)),ISNUMBER(SEARCH(Ref!$H185,Ref!$F$7)),ISNUMBER(SEARCH(Ref!$H185,Ref!$F$8))),"",1)</f>
        <v>1</v>
      </c>
    </row>
    <row r="192" spans="1:9" ht="48" hidden="1" customHeight="1" x14ac:dyDescent="0.25">
      <c r="A192" s="30"/>
      <c r="B192" s="94"/>
      <c r="C192" s="87" t="s">
        <v>122</v>
      </c>
      <c r="D192" s="87"/>
      <c r="E192" s="6"/>
      <c r="F192" s="87" t="s">
        <v>136</v>
      </c>
      <c r="G192" s="95"/>
      <c r="I192">
        <f>IF(OR(ISNUMBER(SEARCH(Ref!$H186,Ref!$F$2)),ISNUMBER(SEARCH(Ref!$H186,Ref!$F$3)),ISNUMBER(SEARCH(Ref!$H186,Ref!$F$4)),ISNUMBER(SEARCH(Ref!$H186,Ref!$F$5)),ISNUMBER(SEARCH(Ref!$H186,Ref!$F$6)),ISNUMBER(SEARCH(Ref!$H186,Ref!$F$7)),ISNUMBER(SEARCH(Ref!$H186,Ref!$F$8))),"",1)</f>
        <v>1</v>
      </c>
    </row>
    <row r="193" spans="1:9" ht="48" hidden="1" customHeight="1" x14ac:dyDescent="0.25">
      <c r="A193" s="30"/>
      <c r="B193" s="94"/>
      <c r="C193" s="87" t="s">
        <v>122</v>
      </c>
      <c r="D193" s="87"/>
      <c r="E193" s="6"/>
      <c r="F193" s="87" t="s">
        <v>137</v>
      </c>
      <c r="G193" s="95"/>
      <c r="I193">
        <f>IF(OR(ISNUMBER(SEARCH(Ref!$H187,Ref!$F$2)),ISNUMBER(SEARCH(Ref!$H187,Ref!$F$3)),ISNUMBER(SEARCH(Ref!$H187,Ref!$F$4)),ISNUMBER(SEARCH(Ref!$H187,Ref!$F$5)),ISNUMBER(SEARCH(Ref!$H187,Ref!$F$6)),ISNUMBER(SEARCH(Ref!$H187,Ref!$F$7)),ISNUMBER(SEARCH(Ref!$H187,Ref!$F$8))),"",1)</f>
        <v>1</v>
      </c>
    </row>
    <row r="194" spans="1:9" ht="48" hidden="1" customHeight="1" x14ac:dyDescent="0.25">
      <c r="A194" s="30"/>
      <c r="B194" s="94"/>
      <c r="C194" s="87" t="s">
        <v>122</v>
      </c>
      <c r="D194" s="87"/>
      <c r="E194" s="6"/>
      <c r="F194" s="87" t="s">
        <v>138</v>
      </c>
      <c r="G194" s="95"/>
      <c r="I194">
        <f>IF(OR(ISNUMBER(SEARCH(Ref!$H188,Ref!$F$2)),ISNUMBER(SEARCH(Ref!$H188,Ref!$F$3)),ISNUMBER(SEARCH(Ref!$H188,Ref!$F$4)),ISNUMBER(SEARCH(Ref!$H188,Ref!$F$5)),ISNUMBER(SEARCH(Ref!$H188,Ref!$F$6)),ISNUMBER(SEARCH(Ref!$H188,Ref!$F$7)),ISNUMBER(SEARCH(Ref!$H188,Ref!$F$8))),"",1)</f>
        <v>1</v>
      </c>
    </row>
    <row r="195" spans="1:9" ht="48" hidden="1" customHeight="1" x14ac:dyDescent="0.25">
      <c r="A195" s="30"/>
      <c r="B195" s="94"/>
      <c r="C195" s="87" t="s">
        <v>122</v>
      </c>
      <c r="D195" s="87"/>
      <c r="E195" s="6"/>
      <c r="F195" s="87" t="s">
        <v>139</v>
      </c>
      <c r="G195" s="95"/>
      <c r="I195">
        <f>IF(OR(ISNUMBER(SEARCH(Ref!$H189,Ref!$F$2)),ISNUMBER(SEARCH(Ref!$H189,Ref!$F$3)),ISNUMBER(SEARCH(Ref!$H189,Ref!$F$4)),ISNUMBER(SEARCH(Ref!$H189,Ref!$F$5)),ISNUMBER(SEARCH(Ref!$H189,Ref!$F$6)),ISNUMBER(SEARCH(Ref!$H189,Ref!$F$7)),ISNUMBER(SEARCH(Ref!$H189,Ref!$F$8))),"",1)</f>
        <v>1</v>
      </c>
    </row>
    <row r="196" spans="1:9" ht="48" hidden="1" customHeight="1" x14ac:dyDescent="0.25">
      <c r="A196" s="30"/>
      <c r="B196" s="94"/>
      <c r="C196" s="87" t="s">
        <v>123</v>
      </c>
      <c r="D196" s="87"/>
      <c r="E196" s="6"/>
      <c r="F196" s="87" t="s">
        <v>95</v>
      </c>
      <c r="G196" s="95"/>
      <c r="I196">
        <f>IF(OR(ISNUMBER(SEARCH(Ref!$H190,Ref!$F$2)),ISNUMBER(SEARCH(Ref!$H190,Ref!$F$3)),ISNUMBER(SEARCH(Ref!$H190,Ref!$F$4)),ISNUMBER(SEARCH(Ref!$H190,Ref!$F$5)),ISNUMBER(SEARCH(Ref!$H190,Ref!$F$6)),ISNUMBER(SEARCH(Ref!$H190,Ref!$F$7)),ISNUMBER(SEARCH(Ref!$H190,Ref!$F$8))),"",1)</f>
        <v>1</v>
      </c>
    </row>
    <row r="197" spans="1:9" ht="48" hidden="1" customHeight="1" x14ac:dyDescent="0.25">
      <c r="A197" s="30"/>
      <c r="B197" s="94"/>
      <c r="C197" s="87" t="s">
        <v>123</v>
      </c>
      <c r="D197" s="87"/>
      <c r="E197" s="6"/>
      <c r="F197" s="87" t="s">
        <v>125</v>
      </c>
      <c r="G197" s="95"/>
      <c r="I197">
        <f>IF(OR(ISNUMBER(SEARCH(Ref!$H191,Ref!$F$2)),ISNUMBER(SEARCH(Ref!$H191,Ref!$F$3)),ISNUMBER(SEARCH(Ref!$H191,Ref!$F$4)),ISNUMBER(SEARCH(Ref!$H191,Ref!$F$5)),ISNUMBER(SEARCH(Ref!$H191,Ref!$F$6)),ISNUMBER(SEARCH(Ref!$H191,Ref!$F$7)),ISNUMBER(SEARCH(Ref!$H191,Ref!$F$8))),"",1)</f>
        <v>1</v>
      </c>
    </row>
    <row r="198" spans="1:9" ht="48" hidden="1" customHeight="1" x14ac:dyDescent="0.25">
      <c r="A198" s="30"/>
      <c r="B198" s="94"/>
      <c r="C198" s="87" t="s">
        <v>123</v>
      </c>
      <c r="D198" s="87"/>
      <c r="E198" s="6"/>
      <c r="F198" s="87" t="s">
        <v>126</v>
      </c>
      <c r="G198" s="95"/>
      <c r="I198">
        <f>IF(OR(ISNUMBER(SEARCH(Ref!$H192,Ref!$F$2)),ISNUMBER(SEARCH(Ref!$H192,Ref!$F$3)),ISNUMBER(SEARCH(Ref!$H192,Ref!$F$4)),ISNUMBER(SEARCH(Ref!$H192,Ref!$F$5)),ISNUMBER(SEARCH(Ref!$H192,Ref!$F$6)),ISNUMBER(SEARCH(Ref!$H192,Ref!$F$7)),ISNUMBER(SEARCH(Ref!$H192,Ref!$F$8))),"",1)</f>
        <v>1</v>
      </c>
    </row>
    <row r="199" spans="1:9" ht="48" hidden="1" customHeight="1" x14ac:dyDescent="0.25">
      <c r="A199" s="30"/>
      <c r="B199" s="94"/>
      <c r="C199" s="87" t="s">
        <v>123</v>
      </c>
      <c r="D199" s="87"/>
      <c r="E199" s="6"/>
      <c r="F199" s="87" t="s">
        <v>127</v>
      </c>
      <c r="G199" s="95"/>
      <c r="I199">
        <f>IF(OR(ISNUMBER(SEARCH(Ref!$H193,Ref!$F$2)),ISNUMBER(SEARCH(Ref!$H193,Ref!$F$3)),ISNUMBER(SEARCH(Ref!$H193,Ref!$F$4)),ISNUMBER(SEARCH(Ref!$H193,Ref!$F$5)),ISNUMBER(SEARCH(Ref!$H193,Ref!$F$6)),ISNUMBER(SEARCH(Ref!$H193,Ref!$F$7)),ISNUMBER(SEARCH(Ref!$H193,Ref!$F$8))),"",1)</f>
        <v>1</v>
      </c>
    </row>
    <row r="200" spans="1:9" ht="48" hidden="1" customHeight="1" x14ac:dyDescent="0.25">
      <c r="A200" s="30"/>
      <c r="B200" s="94"/>
      <c r="C200" s="87" t="s">
        <v>123</v>
      </c>
      <c r="D200" s="87"/>
      <c r="E200" s="6"/>
      <c r="F200" s="87" t="s">
        <v>128</v>
      </c>
      <c r="G200" s="95"/>
      <c r="I200">
        <f>IF(OR(ISNUMBER(SEARCH(Ref!$H194,Ref!$F$2)),ISNUMBER(SEARCH(Ref!$H194,Ref!$F$3)),ISNUMBER(SEARCH(Ref!$H194,Ref!$F$4)),ISNUMBER(SEARCH(Ref!$H194,Ref!$F$5)),ISNUMBER(SEARCH(Ref!$H194,Ref!$F$6)),ISNUMBER(SEARCH(Ref!$H194,Ref!$F$7)),ISNUMBER(SEARCH(Ref!$H194,Ref!$F$8))),"",1)</f>
        <v>1</v>
      </c>
    </row>
    <row r="201" spans="1:9" ht="48" hidden="1" customHeight="1" x14ac:dyDescent="0.25">
      <c r="A201" s="30"/>
      <c r="B201" s="94"/>
      <c r="C201" s="87" t="s">
        <v>123</v>
      </c>
      <c r="D201" s="87"/>
      <c r="E201" s="6"/>
      <c r="F201" s="87" t="s">
        <v>129</v>
      </c>
      <c r="G201" s="95"/>
      <c r="I201">
        <f>IF(OR(ISNUMBER(SEARCH(Ref!$H195,Ref!$F$2)),ISNUMBER(SEARCH(Ref!$H195,Ref!$F$3)),ISNUMBER(SEARCH(Ref!$H195,Ref!$F$4)),ISNUMBER(SEARCH(Ref!$H195,Ref!$F$5)),ISNUMBER(SEARCH(Ref!$H195,Ref!$F$6)),ISNUMBER(SEARCH(Ref!$H195,Ref!$F$7)),ISNUMBER(SEARCH(Ref!$H195,Ref!$F$8))),"",1)</f>
        <v>1</v>
      </c>
    </row>
    <row r="202" spans="1:9" ht="48" hidden="1" customHeight="1" x14ac:dyDescent="0.25">
      <c r="A202" s="30"/>
      <c r="B202" s="94"/>
      <c r="C202" s="87" t="s">
        <v>123</v>
      </c>
      <c r="D202" s="87"/>
      <c r="E202" s="6"/>
      <c r="F202" s="87" t="s">
        <v>130</v>
      </c>
      <c r="G202" s="95"/>
      <c r="I202">
        <f>IF(OR(ISNUMBER(SEARCH(Ref!$H196,Ref!$F$2)),ISNUMBER(SEARCH(Ref!$H196,Ref!$F$3)),ISNUMBER(SEARCH(Ref!$H196,Ref!$F$4)),ISNUMBER(SEARCH(Ref!$H196,Ref!$F$5)),ISNUMBER(SEARCH(Ref!$H196,Ref!$F$6)),ISNUMBER(SEARCH(Ref!$H196,Ref!$F$7)),ISNUMBER(SEARCH(Ref!$H196,Ref!$F$8))),"",1)</f>
        <v>1</v>
      </c>
    </row>
    <row r="203" spans="1:9" ht="48" hidden="1" customHeight="1" x14ac:dyDescent="0.25">
      <c r="A203" s="30"/>
      <c r="B203" s="94"/>
      <c r="C203" s="87" t="s">
        <v>123</v>
      </c>
      <c r="D203" s="87"/>
      <c r="E203" s="6"/>
      <c r="F203" s="87" t="s">
        <v>131</v>
      </c>
      <c r="G203" s="95"/>
      <c r="I203">
        <f>IF(OR(ISNUMBER(SEARCH(Ref!$H197,Ref!$F$2)),ISNUMBER(SEARCH(Ref!$H197,Ref!$F$3)),ISNUMBER(SEARCH(Ref!$H197,Ref!$F$4)),ISNUMBER(SEARCH(Ref!$H197,Ref!$F$5)),ISNUMBER(SEARCH(Ref!$H197,Ref!$F$6)),ISNUMBER(SEARCH(Ref!$H197,Ref!$F$7)),ISNUMBER(SEARCH(Ref!$H197,Ref!$F$8))),"",1)</f>
        <v>1</v>
      </c>
    </row>
    <row r="204" spans="1:9" ht="48" hidden="1" customHeight="1" x14ac:dyDescent="0.25">
      <c r="A204" s="30"/>
      <c r="B204" s="94"/>
      <c r="C204" s="87" t="s">
        <v>123</v>
      </c>
      <c r="D204" s="87"/>
      <c r="E204" s="6"/>
      <c r="F204" s="87" t="s">
        <v>132</v>
      </c>
      <c r="G204" s="95"/>
      <c r="I204">
        <f>IF(OR(ISNUMBER(SEARCH(Ref!$H198,Ref!$F$2)),ISNUMBER(SEARCH(Ref!$H198,Ref!$F$3)),ISNUMBER(SEARCH(Ref!$H198,Ref!$F$4)),ISNUMBER(SEARCH(Ref!$H198,Ref!$F$5)),ISNUMBER(SEARCH(Ref!$H198,Ref!$F$6)),ISNUMBER(SEARCH(Ref!$H198,Ref!$F$7)),ISNUMBER(SEARCH(Ref!$H198,Ref!$F$8))),"",1)</f>
        <v>1</v>
      </c>
    </row>
    <row r="205" spans="1:9" ht="48" hidden="1" customHeight="1" x14ac:dyDescent="0.25">
      <c r="A205" s="30"/>
      <c r="B205" s="94"/>
      <c r="C205" s="87" t="s">
        <v>123</v>
      </c>
      <c r="D205" s="87"/>
      <c r="E205" s="6"/>
      <c r="F205" s="87" t="s">
        <v>133</v>
      </c>
      <c r="G205" s="95"/>
      <c r="I205">
        <f>IF(OR(ISNUMBER(SEARCH(Ref!$H199,Ref!$F$2)),ISNUMBER(SEARCH(Ref!$H199,Ref!$F$3)),ISNUMBER(SEARCH(Ref!$H199,Ref!$F$4)),ISNUMBER(SEARCH(Ref!$H199,Ref!$F$5)),ISNUMBER(SEARCH(Ref!$H199,Ref!$F$6)),ISNUMBER(SEARCH(Ref!$H199,Ref!$F$7)),ISNUMBER(SEARCH(Ref!$H199,Ref!$F$8))),"",1)</f>
        <v>1</v>
      </c>
    </row>
    <row r="206" spans="1:9" ht="48" hidden="1" customHeight="1" x14ac:dyDescent="0.25">
      <c r="A206" s="30"/>
      <c r="B206" s="94"/>
      <c r="C206" s="87" t="s">
        <v>123</v>
      </c>
      <c r="D206" s="87"/>
      <c r="E206" s="6"/>
      <c r="F206" s="87" t="s">
        <v>134</v>
      </c>
      <c r="G206" s="95"/>
      <c r="I206">
        <f>IF(OR(ISNUMBER(SEARCH(Ref!$H200,Ref!$F$2)),ISNUMBER(SEARCH(Ref!$H200,Ref!$F$3)),ISNUMBER(SEARCH(Ref!$H200,Ref!$F$4)),ISNUMBER(SEARCH(Ref!$H200,Ref!$F$5)),ISNUMBER(SEARCH(Ref!$H200,Ref!$F$6)),ISNUMBER(SEARCH(Ref!$H200,Ref!$F$7)),ISNUMBER(SEARCH(Ref!$H200,Ref!$F$8))),"",1)</f>
        <v>1</v>
      </c>
    </row>
    <row r="207" spans="1:9" ht="48" hidden="1" customHeight="1" x14ac:dyDescent="0.25">
      <c r="A207" s="30"/>
      <c r="B207" s="94"/>
      <c r="C207" s="87" t="s">
        <v>123</v>
      </c>
      <c r="D207" s="87"/>
      <c r="E207" s="6"/>
      <c r="F207" s="87" t="s">
        <v>135</v>
      </c>
      <c r="G207" s="95"/>
      <c r="I207">
        <f>IF(OR(ISNUMBER(SEARCH(Ref!$H201,Ref!$F$2)),ISNUMBER(SEARCH(Ref!$H201,Ref!$F$3)),ISNUMBER(SEARCH(Ref!$H201,Ref!$F$4)),ISNUMBER(SEARCH(Ref!$H201,Ref!$F$5)),ISNUMBER(SEARCH(Ref!$H201,Ref!$F$6)),ISNUMBER(SEARCH(Ref!$H201,Ref!$F$7)),ISNUMBER(SEARCH(Ref!$H201,Ref!$F$8))),"",1)</f>
        <v>1</v>
      </c>
    </row>
    <row r="208" spans="1:9" ht="48" hidden="1" customHeight="1" x14ac:dyDescent="0.25">
      <c r="A208" s="30"/>
      <c r="B208" s="94"/>
      <c r="C208" s="87" t="s">
        <v>123</v>
      </c>
      <c r="D208" s="87"/>
      <c r="E208" s="6"/>
      <c r="F208" s="87" t="s">
        <v>136</v>
      </c>
      <c r="G208" s="95"/>
      <c r="I208">
        <f>IF(OR(ISNUMBER(SEARCH(Ref!$H202,Ref!$F$2)),ISNUMBER(SEARCH(Ref!$H202,Ref!$F$3)),ISNUMBER(SEARCH(Ref!$H202,Ref!$F$4)),ISNUMBER(SEARCH(Ref!$H202,Ref!$F$5)),ISNUMBER(SEARCH(Ref!$H202,Ref!$F$6)),ISNUMBER(SEARCH(Ref!$H202,Ref!$F$7)),ISNUMBER(SEARCH(Ref!$H202,Ref!$F$8))),"",1)</f>
        <v>1</v>
      </c>
    </row>
    <row r="209" spans="1:9" ht="48" hidden="1" customHeight="1" x14ac:dyDescent="0.25">
      <c r="A209" s="30"/>
      <c r="B209" s="94"/>
      <c r="C209" s="87" t="s">
        <v>123</v>
      </c>
      <c r="D209" s="87"/>
      <c r="E209" s="6"/>
      <c r="F209" s="87" t="s">
        <v>137</v>
      </c>
      <c r="G209" s="95"/>
      <c r="I209">
        <f>IF(OR(ISNUMBER(SEARCH(Ref!$H203,Ref!$F$2)),ISNUMBER(SEARCH(Ref!$H203,Ref!$F$3)),ISNUMBER(SEARCH(Ref!$H203,Ref!$F$4)),ISNUMBER(SEARCH(Ref!$H203,Ref!$F$5)),ISNUMBER(SEARCH(Ref!$H203,Ref!$F$6)),ISNUMBER(SEARCH(Ref!$H203,Ref!$F$7)),ISNUMBER(SEARCH(Ref!$H203,Ref!$F$8))),"",1)</f>
        <v>1</v>
      </c>
    </row>
    <row r="210" spans="1:9" ht="48" hidden="1" customHeight="1" x14ac:dyDescent="0.25">
      <c r="A210" s="30"/>
      <c r="B210" s="94"/>
      <c r="C210" s="87" t="s">
        <v>123</v>
      </c>
      <c r="D210" s="87"/>
      <c r="E210" s="6"/>
      <c r="F210" s="87" t="s">
        <v>138</v>
      </c>
      <c r="G210" s="95"/>
      <c r="I210">
        <f>IF(OR(ISNUMBER(SEARCH(Ref!$H204,Ref!$F$2)),ISNUMBER(SEARCH(Ref!$H204,Ref!$F$3)),ISNUMBER(SEARCH(Ref!$H204,Ref!$F$4)),ISNUMBER(SEARCH(Ref!$H204,Ref!$F$5)),ISNUMBER(SEARCH(Ref!$H204,Ref!$F$6)),ISNUMBER(SEARCH(Ref!$H204,Ref!$F$7)),ISNUMBER(SEARCH(Ref!$H204,Ref!$F$8))),"",1)</f>
        <v>1</v>
      </c>
    </row>
    <row r="211" spans="1:9" ht="48" hidden="1" customHeight="1" x14ac:dyDescent="0.25">
      <c r="A211" s="30"/>
      <c r="B211" s="94"/>
      <c r="C211" s="87" t="s">
        <v>123</v>
      </c>
      <c r="D211" s="87"/>
      <c r="E211" s="6"/>
      <c r="F211" s="87" t="s">
        <v>139</v>
      </c>
      <c r="G211" s="95"/>
      <c r="I211">
        <f>IF(OR(ISNUMBER(SEARCH(Ref!$H205,Ref!$F$2)),ISNUMBER(SEARCH(Ref!$H205,Ref!$F$3)),ISNUMBER(SEARCH(Ref!$H205,Ref!$F$4)),ISNUMBER(SEARCH(Ref!$H205,Ref!$F$5)),ISNUMBER(SEARCH(Ref!$H205,Ref!$F$6)),ISNUMBER(SEARCH(Ref!$H205,Ref!$F$7)),ISNUMBER(SEARCH(Ref!$H205,Ref!$F$8))),"",1)</f>
        <v>1</v>
      </c>
    </row>
    <row r="212" spans="1:9" ht="48" hidden="1" customHeight="1" x14ac:dyDescent="0.25">
      <c r="A212" s="30"/>
      <c r="B212" s="94"/>
      <c r="C212" s="87" t="s">
        <v>124</v>
      </c>
      <c r="D212" s="87"/>
      <c r="E212" s="6"/>
      <c r="F212" s="87" t="s">
        <v>95</v>
      </c>
      <c r="G212" s="95"/>
      <c r="I212">
        <f>IF(OR(ISNUMBER(SEARCH(Ref!$H206,Ref!$F$2)),ISNUMBER(SEARCH(Ref!$H206,Ref!$F$3)),ISNUMBER(SEARCH(Ref!$H206,Ref!$F$4)),ISNUMBER(SEARCH(Ref!$H206,Ref!$F$5)),ISNUMBER(SEARCH(Ref!$H206,Ref!$F$6)),ISNUMBER(SEARCH(Ref!$H206,Ref!$F$7)),ISNUMBER(SEARCH(Ref!$H206,Ref!$F$8))),"",1)</f>
        <v>1</v>
      </c>
    </row>
    <row r="213" spans="1:9" ht="48" hidden="1" customHeight="1" x14ac:dyDescent="0.25">
      <c r="A213" s="30"/>
      <c r="B213" s="94"/>
      <c r="C213" s="87" t="s">
        <v>124</v>
      </c>
      <c r="D213" s="87"/>
      <c r="E213" s="6"/>
      <c r="F213" s="87" t="s">
        <v>125</v>
      </c>
      <c r="G213" s="95"/>
      <c r="I213">
        <f>IF(OR(ISNUMBER(SEARCH(Ref!$H207,Ref!$F$2)),ISNUMBER(SEARCH(Ref!$H207,Ref!$F$3)),ISNUMBER(SEARCH(Ref!$H207,Ref!$F$4)),ISNUMBER(SEARCH(Ref!$H207,Ref!$F$5)),ISNUMBER(SEARCH(Ref!$H207,Ref!$F$6)),ISNUMBER(SEARCH(Ref!$H207,Ref!$F$7)),ISNUMBER(SEARCH(Ref!$H207,Ref!$F$8))),"",1)</f>
        <v>1</v>
      </c>
    </row>
    <row r="214" spans="1:9" ht="48" hidden="1" customHeight="1" x14ac:dyDescent="0.25">
      <c r="A214" s="30"/>
      <c r="B214" s="94"/>
      <c r="C214" s="87" t="s">
        <v>124</v>
      </c>
      <c r="D214" s="87"/>
      <c r="E214" s="6"/>
      <c r="F214" s="87" t="s">
        <v>126</v>
      </c>
      <c r="G214" s="95"/>
      <c r="I214">
        <f>IF(OR(ISNUMBER(SEARCH(Ref!$H208,Ref!$F$2)),ISNUMBER(SEARCH(Ref!$H208,Ref!$F$3)),ISNUMBER(SEARCH(Ref!$H208,Ref!$F$4)),ISNUMBER(SEARCH(Ref!$H208,Ref!$F$5)),ISNUMBER(SEARCH(Ref!$H208,Ref!$F$6)),ISNUMBER(SEARCH(Ref!$H208,Ref!$F$7)),ISNUMBER(SEARCH(Ref!$H208,Ref!$F$8))),"",1)</f>
        <v>1</v>
      </c>
    </row>
    <row r="215" spans="1:9" ht="48" hidden="1" customHeight="1" x14ac:dyDescent="0.25">
      <c r="A215" s="30"/>
      <c r="B215" s="94"/>
      <c r="C215" s="87" t="s">
        <v>124</v>
      </c>
      <c r="D215" s="87"/>
      <c r="E215" s="6"/>
      <c r="F215" s="87" t="s">
        <v>127</v>
      </c>
      <c r="G215" s="95"/>
      <c r="I215">
        <f>IF(OR(ISNUMBER(SEARCH(Ref!$H209,Ref!$F$2)),ISNUMBER(SEARCH(Ref!$H209,Ref!$F$3)),ISNUMBER(SEARCH(Ref!$H209,Ref!$F$4)),ISNUMBER(SEARCH(Ref!$H209,Ref!$F$5)),ISNUMBER(SEARCH(Ref!$H209,Ref!$F$6)),ISNUMBER(SEARCH(Ref!$H209,Ref!$F$7)),ISNUMBER(SEARCH(Ref!$H209,Ref!$F$8))),"",1)</f>
        <v>1</v>
      </c>
    </row>
    <row r="216" spans="1:9" ht="48" hidden="1" customHeight="1" x14ac:dyDescent="0.25">
      <c r="A216" s="30"/>
      <c r="B216" s="94"/>
      <c r="C216" s="87" t="s">
        <v>124</v>
      </c>
      <c r="D216" s="87"/>
      <c r="E216" s="6"/>
      <c r="F216" s="87" t="s">
        <v>128</v>
      </c>
      <c r="G216" s="95"/>
      <c r="I216">
        <f>IF(OR(ISNUMBER(SEARCH(Ref!$H210,Ref!$F$2)),ISNUMBER(SEARCH(Ref!$H210,Ref!$F$3)),ISNUMBER(SEARCH(Ref!$H210,Ref!$F$4)),ISNUMBER(SEARCH(Ref!$H210,Ref!$F$5)),ISNUMBER(SEARCH(Ref!$H210,Ref!$F$6)),ISNUMBER(SEARCH(Ref!$H210,Ref!$F$7)),ISNUMBER(SEARCH(Ref!$H210,Ref!$F$8))),"",1)</f>
        <v>1</v>
      </c>
    </row>
    <row r="217" spans="1:9" ht="48" hidden="1" customHeight="1" x14ac:dyDescent="0.25">
      <c r="A217" s="30"/>
      <c r="B217" s="94"/>
      <c r="C217" s="87" t="s">
        <v>124</v>
      </c>
      <c r="D217" s="87"/>
      <c r="E217" s="6"/>
      <c r="F217" s="87" t="s">
        <v>129</v>
      </c>
      <c r="G217" s="95"/>
      <c r="I217">
        <f>IF(OR(ISNUMBER(SEARCH(Ref!$H211,Ref!$F$2)),ISNUMBER(SEARCH(Ref!$H211,Ref!$F$3)),ISNUMBER(SEARCH(Ref!$H211,Ref!$F$4)),ISNUMBER(SEARCH(Ref!$H211,Ref!$F$5)),ISNUMBER(SEARCH(Ref!$H211,Ref!$F$6)),ISNUMBER(SEARCH(Ref!$H211,Ref!$F$7)),ISNUMBER(SEARCH(Ref!$H211,Ref!$F$8))),"",1)</f>
        <v>1</v>
      </c>
    </row>
    <row r="218" spans="1:9" ht="48" hidden="1" customHeight="1" x14ac:dyDescent="0.25">
      <c r="A218" s="30"/>
      <c r="B218" s="94"/>
      <c r="C218" s="87" t="s">
        <v>124</v>
      </c>
      <c r="D218" s="87"/>
      <c r="E218" s="6"/>
      <c r="F218" s="87" t="s">
        <v>130</v>
      </c>
      <c r="G218" s="95"/>
      <c r="I218">
        <f>IF(OR(ISNUMBER(SEARCH(Ref!$H212,Ref!$F$2)),ISNUMBER(SEARCH(Ref!$H212,Ref!$F$3)),ISNUMBER(SEARCH(Ref!$H212,Ref!$F$4)),ISNUMBER(SEARCH(Ref!$H212,Ref!$F$5)),ISNUMBER(SEARCH(Ref!$H212,Ref!$F$6)),ISNUMBER(SEARCH(Ref!$H212,Ref!$F$7)),ISNUMBER(SEARCH(Ref!$H212,Ref!$F$8))),"",1)</f>
        <v>1</v>
      </c>
    </row>
    <row r="219" spans="1:9" ht="48" hidden="1" customHeight="1" x14ac:dyDescent="0.25">
      <c r="A219" s="30"/>
      <c r="B219" s="94"/>
      <c r="C219" s="87" t="s">
        <v>124</v>
      </c>
      <c r="D219" s="87"/>
      <c r="E219" s="6"/>
      <c r="F219" s="87" t="s">
        <v>131</v>
      </c>
      <c r="G219" s="95"/>
      <c r="I219">
        <f>IF(OR(ISNUMBER(SEARCH(Ref!$H213,Ref!$F$2)),ISNUMBER(SEARCH(Ref!$H213,Ref!$F$3)),ISNUMBER(SEARCH(Ref!$H213,Ref!$F$4)),ISNUMBER(SEARCH(Ref!$H213,Ref!$F$5)),ISNUMBER(SEARCH(Ref!$H213,Ref!$F$6)),ISNUMBER(SEARCH(Ref!$H213,Ref!$F$7)),ISNUMBER(SEARCH(Ref!$H213,Ref!$F$8))),"",1)</f>
        <v>1</v>
      </c>
    </row>
    <row r="220" spans="1:9" ht="48" hidden="1" customHeight="1" x14ac:dyDescent="0.25">
      <c r="A220" s="30"/>
      <c r="B220" s="94"/>
      <c r="C220" s="87" t="s">
        <v>124</v>
      </c>
      <c r="D220" s="87"/>
      <c r="E220" s="6"/>
      <c r="F220" s="87" t="s">
        <v>132</v>
      </c>
      <c r="G220" s="95"/>
      <c r="I220">
        <f>IF(OR(ISNUMBER(SEARCH(Ref!$H214,Ref!$F$2)),ISNUMBER(SEARCH(Ref!$H214,Ref!$F$3)),ISNUMBER(SEARCH(Ref!$H214,Ref!$F$4)),ISNUMBER(SEARCH(Ref!$H214,Ref!$F$5)),ISNUMBER(SEARCH(Ref!$H214,Ref!$F$6)),ISNUMBER(SEARCH(Ref!$H214,Ref!$F$7)),ISNUMBER(SEARCH(Ref!$H214,Ref!$F$8))),"",1)</f>
        <v>1</v>
      </c>
    </row>
    <row r="221" spans="1:9" ht="48" hidden="1" customHeight="1" x14ac:dyDescent="0.25">
      <c r="A221" s="30"/>
      <c r="B221" s="94"/>
      <c r="C221" s="87" t="s">
        <v>124</v>
      </c>
      <c r="D221" s="87"/>
      <c r="E221" s="6"/>
      <c r="F221" s="87" t="s">
        <v>133</v>
      </c>
      <c r="G221" s="95"/>
      <c r="I221">
        <f>IF(OR(ISNUMBER(SEARCH(Ref!$H215,Ref!$F$2)),ISNUMBER(SEARCH(Ref!$H215,Ref!$F$3)),ISNUMBER(SEARCH(Ref!$H215,Ref!$F$4)),ISNUMBER(SEARCH(Ref!$H215,Ref!$F$5)),ISNUMBER(SEARCH(Ref!$H215,Ref!$F$6)),ISNUMBER(SEARCH(Ref!$H215,Ref!$F$7)),ISNUMBER(SEARCH(Ref!$H215,Ref!$F$8))),"",1)</f>
        <v>1</v>
      </c>
    </row>
    <row r="222" spans="1:9" ht="48" hidden="1" customHeight="1" x14ac:dyDescent="0.25">
      <c r="A222" s="30"/>
      <c r="B222" s="94"/>
      <c r="C222" s="87" t="s">
        <v>124</v>
      </c>
      <c r="D222" s="87"/>
      <c r="E222" s="6"/>
      <c r="F222" s="87" t="s">
        <v>134</v>
      </c>
      <c r="G222" s="95"/>
      <c r="I222">
        <f>IF(OR(ISNUMBER(SEARCH(Ref!$H216,Ref!$F$2)),ISNUMBER(SEARCH(Ref!$H216,Ref!$F$3)),ISNUMBER(SEARCH(Ref!$H216,Ref!$F$4)),ISNUMBER(SEARCH(Ref!$H216,Ref!$F$5)),ISNUMBER(SEARCH(Ref!$H216,Ref!$F$6)),ISNUMBER(SEARCH(Ref!$H216,Ref!$F$7)),ISNUMBER(SEARCH(Ref!$H216,Ref!$F$8))),"",1)</f>
        <v>1</v>
      </c>
    </row>
    <row r="223" spans="1:9" ht="48" hidden="1" customHeight="1" x14ac:dyDescent="0.25">
      <c r="A223" s="30"/>
      <c r="B223" s="94"/>
      <c r="C223" s="87" t="s">
        <v>124</v>
      </c>
      <c r="D223" s="87"/>
      <c r="E223" s="6"/>
      <c r="F223" s="87" t="s">
        <v>135</v>
      </c>
      <c r="G223" s="95"/>
      <c r="I223">
        <f>IF(OR(ISNUMBER(SEARCH(Ref!$H217,Ref!$F$2)),ISNUMBER(SEARCH(Ref!$H217,Ref!$F$3)),ISNUMBER(SEARCH(Ref!$H217,Ref!$F$4)),ISNUMBER(SEARCH(Ref!$H217,Ref!$F$5)),ISNUMBER(SEARCH(Ref!$H217,Ref!$F$6)),ISNUMBER(SEARCH(Ref!$H217,Ref!$F$7)),ISNUMBER(SEARCH(Ref!$H217,Ref!$F$8))),"",1)</f>
        <v>1</v>
      </c>
    </row>
    <row r="224" spans="1:9" ht="48" hidden="1" customHeight="1" x14ac:dyDescent="0.25">
      <c r="A224" s="30"/>
      <c r="B224" s="94"/>
      <c r="C224" s="87" t="s">
        <v>124</v>
      </c>
      <c r="D224" s="87"/>
      <c r="E224" s="6"/>
      <c r="F224" s="87" t="s">
        <v>136</v>
      </c>
      <c r="G224" s="95"/>
      <c r="I224">
        <f>IF(OR(ISNUMBER(SEARCH(Ref!$H218,Ref!$F$2)),ISNUMBER(SEARCH(Ref!$H218,Ref!$F$3)),ISNUMBER(SEARCH(Ref!$H218,Ref!$F$4)),ISNUMBER(SEARCH(Ref!$H218,Ref!$F$5)),ISNUMBER(SEARCH(Ref!$H218,Ref!$F$6)),ISNUMBER(SEARCH(Ref!$H218,Ref!$F$7)),ISNUMBER(SEARCH(Ref!$H218,Ref!$F$8))),"",1)</f>
        <v>1</v>
      </c>
    </row>
    <row r="225" spans="1:9" ht="48" hidden="1" customHeight="1" x14ac:dyDescent="0.25">
      <c r="A225" s="30"/>
      <c r="B225" s="94"/>
      <c r="C225" s="87" t="s">
        <v>124</v>
      </c>
      <c r="D225" s="87"/>
      <c r="E225" s="6"/>
      <c r="F225" s="87" t="s">
        <v>137</v>
      </c>
      <c r="G225" s="95"/>
      <c r="I225">
        <f>IF(OR(ISNUMBER(SEARCH(Ref!$H219,Ref!$F$2)),ISNUMBER(SEARCH(Ref!$H219,Ref!$F$3)),ISNUMBER(SEARCH(Ref!$H219,Ref!$F$4)),ISNUMBER(SEARCH(Ref!$H219,Ref!$F$5)),ISNUMBER(SEARCH(Ref!$H219,Ref!$F$6)),ISNUMBER(SEARCH(Ref!$H219,Ref!$F$7)),ISNUMBER(SEARCH(Ref!$H219,Ref!$F$8))),"",1)</f>
        <v>1</v>
      </c>
    </row>
    <row r="226" spans="1:9" ht="48" hidden="1" customHeight="1" x14ac:dyDescent="0.25">
      <c r="A226" s="30"/>
      <c r="B226" s="94"/>
      <c r="C226" s="87" t="s">
        <v>124</v>
      </c>
      <c r="D226" s="87"/>
      <c r="E226" s="6"/>
      <c r="F226" s="87" t="s">
        <v>138</v>
      </c>
      <c r="G226" s="95"/>
      <c r="I226">
        <f>IF(OR(ISNUMBER(SEARCH(Ref!$H220,Ref!$F$2)),ISNUMBER(SEARCH(Ref!$H220,Ref!$F$3)),ISNUMBER(SEARCH(Ref!$H220,Ref!$F$4)),ISNUMBER(SEARCH(Ref!$H220,Ref!$F$5)),ISNUMBER(SEARCH(Ref!$H220,Ref!$F$6)),ISNUMBER(SEARCH(Ref!$H220,Ref!$F$7)),ISNUMBER(SEARCH(Ref!$H220,Ref!$F$8))),"",1)</f>
        <v>1</v>
      </c>
    </row>
    <row r="227" spans="1:9" ht="48" hidden="1" customHeight="1" x14ac:dyDescent="0.25">
      <c r="A227" s="30"/>
      <c r="B227" s="94"/>
      <c r="C227" s="87" t="s">
        <v>124</v>
      </c>
      <c r="D227" s="87"/>
      <c r="E227" s="6"/>
      <c r="F227" s="87" t="s">
        <v>139</v>
      </c>
      <c r="G227" s="95"/>
      <c r="I227">
        <f>IF(OR(ISNUMBER(SEARCH(Ref!$H221,Ref!$F$2)),ISNUMBER(SEARCH(Ref!$H221,Ref!$F$3)),ISNUMBER(SEARCH(Ref!$H221,Ref!$F$4)),ISNUMBER(SEARCH(Ref!$H221,Ref!$F$5)),ISNUMBER(SEARCH(Ref!$H221,Ref!$F$6)),ISNUMBER(SEARCH(Ref!$H221,Ref!$F$7)),ISNUMBER(SEARCH(Ref!$H221,Ref!$F$8))),"",1)</f>
        <v>1</v>
      </c>
    </row>
    <row r="228" spans="1:9" ht="48" hidden="1" customHeight="1" x14ac:dyDescent="0.25">
      <c r="A228" s="30"/>
      <c r="B228" s="94"/>
      <c r="C228" s="87" t="s">
        <v>95</v>
      </c>
      <c r="D228" s="87"/>
      <c r="E228" s="6"/>
      <c r="F228" s="87" t="s">
        <v>126</v>
      </c>
      <c r="G228" s="95"/>
      <c r="I228">
        <f>IF(OR(ISNUMBER(SEARCH(Ref!$H222,Ref!$F$2)),ISNUMBER(SEARCH(Ref!$H222,Ref!$F$3)),ISNUMBER(SEARCH(Ref!$H222,Ref!$F$4)),ISNUMBER(SEARCH(Ref!$H222,Ref!$F$5)),ISNUMBER(SEARCH(Ref!$H222,Ref!$F$6)),ISNUMBER(SEARCH(Ref!$H222,Ref!$F$7)),ISNUMBER(SEARCH(Ref!$H222,Ref!$F$8))),"",1)</f>
        <v>1</v>
      </c>
    </row>
    <row r="229" spans="1:9" ht="48" customHeight="1" x14ac:dyDescent="0.25">
      <c r="A229" s="30"/>
      <c r="B229" s="94"/>
      <c r="C229" s="87" t="s">
        <v>95</v>
      </c>
      <c r="D229" s="87"/>
      <c r="E229" s="6"/>
      <c r="F229" s="87" t="s">
        <v>127</v>
      </c>
      <c r="G229" s="95"/>
      <c r="I229" t="str">
        <f>IF(OR(ISNUMBER(SEARCH(Ref!$H223,Ref!$F$2)),ISNUMBER(SEARCH(Ref!$H223,Ref!$F$3)),ISNUMBER(SEARCH(Ref!$H223,Ref!$F$4)),ISNUMBER(SEARCH(Ref!$H223,Ref!$F$5)),ISNUMBER(SEARCH(Ref!$H223,Ref!$F$6)),ISNUMBER(SEARCH(Ref!$H223,Ref!$F$7)),ISNUMBER(SEARCH(Ref!$H223,Ref!$F$8))),"",1)</f>
        <v/>
      </c>
    </row>
    <row r="230" spans="1:9" ht="48" hidden="1" customHeight="1" x14ac:dyDescent="0.25">
      <c r="A230" s="30"/>
      <c r="B230" s="94"/>
      <c r="C230" s="87" t="s">
        <v>95</v>
      </c>
      <c r="D230" s="87"/>
      <c r="E230" s="6"/>
      <c r="F230" s="87" t="s">
        <v>128</v>
      </c>
      <c r="G230" s="95"/>
      <c r="I230">
        <f>IF(OR(ISNUMBER(SEARCH(Ref!$H224,Ref!$F$2)),ISNUMBER(SEARCH(Ref!$H224,Ref!$F$3)),ISNUMBER(SEARCH(Ref!$H224,Ref!$F$4)),ISNUMBER(SEARCH(Ref!$H224,Ref!$F$5)),ISNUMBER(SEARCH(Ref!$H224,Ref!$F$6)),ISNUMBER(SEARCH(Ref!$H224,Ref!$F$7)),ISNUMBER(SEARCH(Ref!$H224,Ref!$F$8))),"",1)</f>
        <v>1</v>
      </c>
    </row>
    <row r="231" spans="1:9" ht="48" hidden="1" customHeight="1" x14ac:dyDescent="0.25">
      <c r="A231" s="30"/>
      <c r="B231" s="94"/>
      <c r="C231" s="87" t="s">
        <v>95</v>
      </c>
      <c r="D231" s="87"/>
      <c r="E231" s="6"/>
      <c r="F231" s="87" t="s">
        <v>129</v>
      </c>
      <c r="G231" s="95"/>
      <c r="I231">
        <f>IF(OR(ISNUMBER(SEARCH(Ref!$H225,Ref!$F$2)),ISNUMBER(SEARCH(Ref!$H225,Ref!$F$3)),ISNUMBER(SEARCH(Ref!$H225,Ref!$F$4)),ISNUMBER(SEARCH(Ref!$H225,Ref!$F$5)),ISNUMBER(SEARCH(Ref!$H225,Ref!$F$6)),ISNUMBER(SEARCH(Ref!$H225,Ref!$F$7)),ISNUMBER(SEARCH(Ref!$H225,Ref!$F$8))),"",1)</f>
        <v>1</v>
      </c>
    </row>
    <row r="232" spans="1:9" ht="48" hidden="1" customHeight="1" x14ac:dyDescent="0.25">
      <c r="A232" s="30"/>
      <c r="B232" s="94"/>
      <c r="C232" s="87" t="s">
        <v>95</v>
      </c>
      <c r="D232" s="87"/>
      <c r="E232" s="6"/>
      <c r="F232" s="87" t="s">
        <v>130</v>
      </c>
      <c r="G232" s="95"/>
      <c r="I232">
        <f>IF(OR(ISNUMBER(SEARCH(Ref!$H226,Ref!$F$2)),ISNUMBER(SEARCH(Ref!$H226,Ref!$F$3)),ISNUMBER(SEARCH(Ref!$H226,Ref!$F$4)),ISNUMBER(SEARCH(Ref!$H226,Ref!$F$5)),ISNUMBER(SEARCH(Ref!$H226,Ref!$F$6)),ISNUMBER(SEARCH(Ref!$H226,Ref!$F$7)),ISNUMBER(SEARCH(Ref!$H226,Ref!$F$8))),"",1)</f>
        <v>1</v>
      </c>
    </row>
    <row r="233" spans="1:9" ht="48" hidden="1" customHeight="1" x14ac:dyDescent="0.25">
      <c r="A233" s="30"/>
      <c r="B233" s="94"/>
      <c r="C233" s="87" t="s">
        <v>95</v>
      </c>
      <c r="D233" s="87"/>
      <c r="E233" s="6"/>
      <c r="F233" s="87" t="s">
        <v>131</v>
      </c>
      <c r="G233" s="95"/>
      <c r="I233">
        <f>IF(OR(ISNUMBER(SEARCH(Ref!$H227,Ref!$F$2)),ISNUMBER(SEARCH(Ref!$H227,Ref!$F$3)),ISNUMBER(SEARCH(Ref!$H227,Ref!$F$4)),ISNUMBER(SEARCH(Ref!$H227,Ref!$F$5)),ISNUMBER(SEARCH(Ref!$H227,Ref!$F$6)),ISNUMBER(SEARCH(Ref!$H227,Ref!$F$7)),ISNUMBER(SEARCH(Ref!$H227,Ref!$F$8))),"",1)</f>
        <v>1</v>
      </c>
    </row>
    <row r="234" spans="1:9" ht="48" hidden="1" customHeight="1" x14ac:dyDescent="0.25">
      <c r="A234" s="30"/>
      <c r="B234" s="94"/>
      <c r="C234" s="87" t="s">
        <v>95</v>
      </c>
      <c r="D234" s="87"/>
      <c r="E234" s="6"/>
      <c r="F234" s="87" t="s">
        <v>132</v>
      </c>
      <c r="G234" s="95"/>
      <c r="I234">
        <f>IF(OR(ISNUMBER(SEARCH(Ref!$H228,Ref!$F$2)),ISNUMBER(SEARCH(Ref!$H228,Ref!$F$3)),ISNUMBER(SEARCH(Ref!$H228,Ref!$F$4)),ISNUMBER(SEARCH(Ref!$H228,Ref!$F$5)),ISNUMBER(SEARCH(Ref!$H228,Ref!$F$6)),ISNUMBER(SEARCH(Ref!$H228,Ref!$F$7)),ISNUMBER(SEARCH(Ref!$H228,Ref!$F$8))),"",1)</f>
        <v>1</v>
      </c>
    </row>
    <row r="235" spans="1:9" ht="48" hidden="1" customHeight="1" x14ac:dyDescent="0.25">
      <c r="A235" s="30"/>
      <c r="B235" s="94"/>
      <c r="C235" s="87" t="s">
        <v>95</v>
      </c>
      <c r="D235" s="87"/>
      <c r="E235" s="6"/>
      <c r="F235" s="87" t="s">
        <v>133</v>
      </c>
      <c r="G235" s="95"/>
      <c r="I235">
        <f>IF(OR(ISNUMBER(SEARCH(Ref!$H229,Ref!$F$2)),ISNUMBER(SEARCH(Ref!$H229,Ref!$F$3)),ISNUMBER(SEARCH(Ref!$H229,Ref!$F$4)),ISNUMBER(SEARCH(Ref!$H229,Ref!$F$5)),ISNUMBER(SEARCH(Ref!$H229,Ref!$F$6)),ISNUMBER(SEARCH(Ref!$H229,Ref!$F$7)),ISNUMBER(SEARCH(Ref!$H229,Ref!$F$8))),"",1)</f>
        <v>1</v>
      </c>
    </row>
    <row r="236" spans="1:9" ht="48" hidden="1" customHeight="1" x14ac:dyDescent="0.25">
      <c r="A236" s="30"/>
      <c r="B236" s="94"/>
      <c r="C236" s="87" t="s">
        <v>95</v>
      </c>
      <c r="D236" s="87"/>
      <c r="E236" s="6"/>
      <c r="F236" s="87" t="s">
        <v>134</v>
      </c>
      <c r="G236" s="95"/>
      <c r="I236">
        <f>IF(OR(ISNUMBER(SEARCH(Ref!$H230,Ref!$F$2)),ISNUMBER(SEARCH(Ref!$H230,Ref!$F$3)),ISNUMBER(SEARCH(Ref!$H230,Ref!$F$4)),ISNUMBER(SEARCH(Ref!$H230,Ref!$F$5)),ISNUMBER(SEARCH(Ref!$H230,Ref!$F$6)),ISNUMBER(SEARCH(Ref!$H230,Ref!$F$7)),ISNUMBER(SEARCH(Ref!$H230,Ref!$F$8))),"",1)</f>
        <v>1</v>
      </c>
    </row>
    <row r="237" spans="1:9" ht="48" hidden="1" customHeight="1" x14ac:dyDescent="0.25">
      <c r="A237" s="30"/>
      <c r="B237" s="94"/>
      <c r="C237" s="87" t="s">
        <v>95</v>
      </c>
      <c r="D237" s="87"/>
      <c r="E237" s="6"/>
      <c r="F237" s="87" t="s">
        <v>135</v>
      </c>
      <c r="G237" s="95"/>
      <c r="I237">
        <f>IF(OR(ISNUMBER(SEARCH(Ref!$H231,Ref!$F$2)),ISNUMBER(SEARCH(Ref!$H231,Ref!$F$3)),ISNUMBER(SEARCH(Ref!$H231,Ref!$F$4)),ISNUMBER(SEARCH(Ref!$H231,Ref!$F$5)),ISNUMBER(SEARCH(Ref!$H231,Ref!$F$6)),ISNUMBER(SEARCH(Ref!$H231,Ref!$F$7)),ISNUMBER(SEARCH(Ref!$H231,Ref!$F$8))),"",1)</f>
        <v>1</v>
      </c>
    </row>
    <row r="238" spans="1:9" ht="48" hidden="1" customHeight="1" x14ac:dyDescent="0.25">
      <c r="A238" s="30"/>
      <c r="B238" s="94"/>
      <c r="C238" s="87" t="s">
        <v>95</v>
      </c>
      <c r="D238" s="87"/>
      <c r="E238" s="6"/>
      <c r="F238" s="87" t="s">
        <v>136</v>
      </c>
      <c r="G238" s="95"/>
      <c r="I238">
        <f>IF(OR(ISNUMBER(SEARCH(Ref!$H232,Ref!$F$2)),ISNUMBER(SEARCH(Ref!$H232,Ref!$F$3)),ISNUMBER(SEARCH(Ref!$H232,Ref!$F$4)),ISNUMBER(SEARCH(Ref!$H232,Ref!$F$5)),ISNUMBER(SEARCH(Ref!$H232,Ref!$F$6)),ISNUMBER(SEARCH(Ref!$H232,Ref!$F$7)),ISNUMBER(SEARCH(Ref!$H232,Ref!$F$8))),"",1)</f>
        <v>1</v>
      </c>
    </row>
    <row r="239" spans="1:9" ht="48" hidden="1" customHeight="1" x14ac:dyDescent="0.25">
      <c r="A239" s="30"/>
      <c r="B239" s="94"/>
      <c r="C239" s="87" t="s">
        <v>95</v>
      </c>
      <c r="D239" s="87"/>
      <c r="E239" s="6"/>
      <c r="F239" s="87" t="s">
        <v>137</v>
      </c>
      <c r="G239" s="95"/>
      <c r="I239">
        <f>IF(OR(ISNUMBER(SEARCH(Ref!$H233,Ref!$F$2)),ISNUMBER(SEARCH(Ref!$H233,Ref!$F$3)),ISNUMBER(SEARCH(Ref!$H233,Ref!$F$4)),ISNUMBER(SEARCH(Ref!$H233,Ref!$F$5)),ISNUMBER(SEARCH(Ref!$H233,Ref!$F$6)),ISNUMBER(SEARCH(Ref!$H233,Ref!$F$7)),ISNUMBER(SEARCH(Ref!$H233,Ref!$F$8))),"",1)</f>
        <v>1</v>
      </c>
    </row>
    <row r="240" spans="1:9" ht="48" hidden="1" customHeight="1" x14ac:dyDescent="0.25">
      <c r="A240" s="30"/>
      <c r="B240" s="94"/>
      <c r="C240" s="87" t="s">
        <v>95</v>
      </c>
      <c r="D240" s="87"/>
      <c r="E240" s="6"/>
      <c r="F240" s="87" t="s">
        <v>138</v>
      </c>
      <c r="G240" s="95"/>
      <c r="I240">
        <f>IF(OR(ISNUMBER(SEARCH(Ref!$H234,Ref!$F$2)),ISNUMBER(SEARCH(Ref!$H234,Ref!$F$3)),ISNUMBER(SEARCH(Ref!$H234,Ref!$F$4)),ISNUMBER(SEARCH(Ref!$H234,Ref!$F$5)),ISNUMBER(SEARCH(Ref!$H234,Ref!$F$6)),ISNUMBER(SEARCH(Ref!$H234,Ref!$F$7)),ISNUMBER(SEARCH(Ref!$H234,Ref!$F$8))),"",1)</f>
        <v>1</v>
      </c>
    </row>
    <row r="241" spans="1:9" ht="48" hidden="1" customHeight="1" x14ac:dyDescent="0.25">
      <c r="A241" s="30"/>
      <c r="B241" s="94"/>
      <c r="C241" s="87" t="s">
        <v>95</v>
      </c>
      <c r="D241" s="87"/>
      <c r="E241" s="6"/>
      <c r="F241" s="87" t="s">
        <v>139</v>
      </c>
      <c r="G241" s="95"/>
      <c r="I241">
        <f>IF(OR(ISNUMBER(SEARCH(Ref!$H235,Ref!$F$2)),ISNUMBER(SEARCH(Ref!$H235,Ref!$F$3)),ISNUMBER(SEARCH(Ref!$H235,Ref!$F$4)),ISNUMBER(SEARCH(Ref!$H235,Ref!$F$5)),ISNUMBER(SEARCH(Ref!$H235,Ref!$F$6)),ISNUMBER(SEARCH(Ref!$H235,Ref!$F$7)),ISNUMBER(SEARCH(Ref!$H235,Ref!$F$8))),"",1)</f>
        <v>1</v>
      </c>
    </row>
    <row r="242" spans="1:9" ht="48" hidden="1" customHeight="1" x14ac:dyDescent="0.25">
      <c r="A242" s="30"/>
      <c r="B242" s="94"/>
      <c r="C242" s="87" t="s">
        <v>125</v>
      </c>
      <c r="D242" s="87"/>
      <c r="E242" s="6"/>
      <c r="F242" s="87" t="s">
        <v>126</v>
      </c>
      <c r="G242" s="95"/>
      <c r="I242">
        <f>IF(OR(ISNUMBER(SEARCH(Ref!$H236,Ref!$F$2)),ISNUMBER(SEARCH(Ref!$H236,Ref!$F$3)),ISNUMBER(SEARCH(Ref!$H236,Ref!$F$4)),ISNUMBER(SEARCH(Ref!$H236,Ref!$F$5)),ISNUMBER(SEARCH(Ref!$H236,Ref!$F$6)),ISNUMBER(SEARCH(Ref!$H236,Ref!$F$7)),ISNUMBER(SEARCH(Ref!$H236,Ref!$F$8))),"",1)</f>
        <v>1</v>
      </c>
    </row>
    <row r="243" spans="1:9" ht="48" hidden="1" customHeight="1" x14ac:dyDescent="0.25">
      <c r="A243" s="30"/>
      <c r="B243" s="94"/>
      <c r="C243" s="87" t="s">
        <v>125</v>
      </c>
      <c r="D243" s="87"/>
      <c r="E243" s="6"/>
      <c r="F243" s="87" t="s">
        <v>127</v>
      </c>
      <c r="G243" s="95"/>
      <c r="I243">
        <f>IF(OR(ISNUMBER(SEARCH(Ref!$H237,Ref!$F$2)),ISNUMBER(SEARCH(Ref!$H237,Ref!$F$3)),ISNUMBER(SEARCH(Ref!$H237,Ref!$F$4)),ISNUMBER(SEARCH(Ref!$H237,Ref!$F$5)),ISNUMBER(SEARCH(Ref!$H237,Ref!$F$6)),ISNUMBER(SEARCH(Ref!$H237,Ref!$F$7)),ISNUMBER(SEARCH(Ref!$H237,Ref!$F$8))),"",1)</f>
        <v>1</v>
      </c>
    </row>
    <row r="244" spans="1:9" ht="48" hidden="1" customHeight="1" x14ac:dyDescent="0.25">
      <c r="A244" s="30"/>
      <c r="B244" s="94"/>
      <c r="C244" s="87" t="s">
        <v>125</v>
      </c>
      <c r="D244" s="87"/>
      <c r="E244" s="6"/>
      <c r="F244" s="87" t="s">
        <v>128</v>
      </c>
      <c r="G244" s="95"/>
      <c r="I244">
        <f>IF(OR(ISNUMBER(SEARCH(Ref!$H238,Ref!$F$2)),ISNUMBER(SEARCH(Ref!$H238,Ref!$F$3)),ISNUMBER(SEARCH(Ref!$H238,Ref!$F$4)),ISNUMBER(SEARCH(Ref!$H238,Ref!$F$5)),ISNUMBER(SEARCH(Ref!$H238,Ref!$F$6)),ISNUMBER(SEARCH(Ref!$H238,Ref!$F$7)),ISNUMBER(SEARCH(Ref!$H238,Ref!$F$8))),"",1)</f>
        <v>1</v>
      </c>
    </row>
    <row r="245" spans="1:9" ht="48" hidden="1" customHeight="1" x14ac:dyDescent="0.25">
      <c r="A245" s="30"/>
      <c r="B245" s="94"/>
      <c r="C245" s="87" t="s">
        <v>125</v>
      </c>
      <c r="D245" s="87"/>
      <c r="E245" s="6"/>
      <c r="F245" s="87" t="s">
        <v>129</v>
      </c>
      <c r="G245" s="95"/>
      <c r="I245">
        <f>IF(OR(ISNUMBER(SEARCH(Ref!$H239,Ref!$F$2)),ISNUMBER(SEARCH(Ref!$H239,Ref!$F$3)),ISNUMBER(SEARCH(Ref!$H239,Ref!$F$4)),ISNUMBER(SEARCH(Ref!$H239,Ref!$F$5)),ISNUMBER(SEARCH(Ref!$H239,Ref!$F$6)),ISNUMBER(SEARCH(Ref!$H239,Ref!$F$7)),ISNUMBER(SEARCH(Ref!$H239,Ref!$F$8))),"",1)</f>
        <v>1</v>
      </c>
    </row>
    <row r="246" spans="1:9" ht="48" hidden="1" customHeight="1" x14ac:dyDescent="0.25">
      <c r="A246" s="30"/>
      <c r="B246" s="94"/>
      <c r="C246" s="87" t="s">
        <v>125</v>
      </c>
      <c r="D246" s="87"/>
      <c r="E246" s="6"/>
      <c r="F246" s="87" t="s">
        <v>130</v>
      </c>
      <c r="G246" s="95"/>
      <c r="I246">
        <f>IF(OR(ISNUMBER(SEARCH(Ref!$H240,Ref!$F$2)),ISNUMBER(SEARCH(Ref!$H240,Ref!$F$3)),ISNUMBER(SEARCH(Ref!$H240,Ref!$F$4)),ISNUMBER(SEARCH(Ref!$H240,Ref!$F$5)),ISNUMBER(SEARCH(Ref!$H240,Ref!$F$6)),ISNUMBER(SEARCH(Ref!$H240,Ref!$F$7)),ISNUMBER(SEARCH(Ref!$H240,Ref!$F$8))),"",1)</f>
        <v>1</v>
      </c>
    </row>
    <row r="247" spans="1:9" ht="48" hidden="1" customHeight="1" x14ac:dyDescent="0.25">
      <c r="A247" s="30"/>
      <c r="B247" s="94"/>
      <c r="C247" s="87" t="s">
        <v>125</v>
      </c>
      <c r="D247" s="87"/>
      <c r="E247" s="6"/>
      <c r="F247" s="87" t="s">
        <v>131</v>
      </c>
      <c r="G247" s="95"/>
      <c r="I247">
        <f>IF(OR(ISNUMBER(SEARCH(Ref!$H241,Ref!$F$2)),ISNUMBER(SEARCH(Ref!$H241,Ref!$F$3)),ISNUMBER(SEARCH(Ref!$H241,Ref!$F$4)),ISNUMBER(SEARCH(Ref!$H241,Ref!$F$5)),ISNUMBER(SEARCH(Ref!$H241,Ref!$F$6)),ISNUMBER(SEARCH(Ref!$H241,Ref!$F$7)),ISNUMBER(SEARCH(Ref!$H241,Ref!$F$8))),"",1)</f>
        <v>1</v>
      </c>
    </row>
    <row r="248" spans="1:9" ht="48" hidden="1" customHeight="1" x14ac:dyDescent="0.25">
      <c r="A248" s="30"/>
      <c r="B248" s="94"/>
      <c r="C248" s="87" t="s">
        <v>125</v>
      </c>
      <c r="D248" s="87"/>
      <c r="E248" s="6"/>
      <c r="F248" s="87" t="s">
        <v>132</v>
      </c>
      <c r="G248" s="95"/>
      <c r="I248">
        <f>IF(OR(ISNUMBER(SEARCH(Ref!$H242,Ref!$F$2)),ISNUMBER(SEARCH(Ref!$H242,Ref!$F$3)),ISNUMBER(SEARCH(Ref!$H242,Ref!$F$4)),ISNUMBER(SEARCH(Ref!$H242,Ref!$F$5)),ISNUMBER(SEARCH(Ref!$H242,Ref!$F$6)),ISNUMBER(SEARCH(Ref!$H242,Ref!$F$7)),ISNUMBER(SEARCH(Ref!$H242,Ref!$F$8))),"",1)</f>
        <v>1</v>
      </c>
    </row>
    <row r="249" spans="1:9" ht="48" hidden="1" customHeight="1" x14ac:dyDescent="0.25">
      <c r="A249" s="30"/>
      <c r="B249" s="94"/>
      <c r="C249" s="87" t="s">
        <v>125</v>
      </c>
      <c r="D249" s="87"/>
      <c r="E249" s="6"/>
      <c r="F249" s="87" t="s">
        <v>133</v>
      </c>
      <c r="G249" s="95"/>
      <c r="I249">
        <f>IF(OR(ISNUMBER(SEARCH(Ref!$H243,Ref!$F$2)),ISNUMBER(SEARCH(Ref!$H243,Ref!$F$3)),ISNUMBER(SEARCH(Ref!$H243,Ref!$F$4)),ISNUMBER(SEARCH(Ref!$H243,Ref!$F$5)),ISNUMBER(SEARCH(Ref!$H243,Ref!$F$6)),ISNUMBER(SEARCH(Ref!$H243,Ref!$F$7)),ISNUMBER(SEARCH(Ref!$H243,Ref!$F$8))),"",1)</f>
        <v>1</v>
      </c>
    </row>
    <row r="250" spans="1:9" ht="48" hidden="1" customHeight="1" x14ac:dyDescent="0.25">
      <c r="A250" s="30"/>
      <c r="B250" s="94"/>
      <c r="C250" s="87" t="s">
        <v>125</v>
      </c>
      <c r="D250" s="87"/>
      <c r="E250" s="6"/>
      <c r="F250" s="87" t="s">
        <v>134</v>
      </c>
      <c r="G250" s="95"/>
      <c r="I250">
        <f>IF(OR(ISNUMBER(SEARCH(Ref!$H244,Ref!$F$2)),ISNUMBER(SEARCH(Ref!$H244,Ref!$F$3)),ISNUMBER(SEARCH(Ref!$H244,Ref!$F$4)),ISNUMBER(SEARCH(Ref!$H244,Ref!$F$5)),ISNUMBER(SEARCH(Ref!$H244,Ref!$F$6)),ISNUMBER(SEARCH(Ref!$H244,Ref!$F$7)),ISNUMBER(SEARCH(Ref!$H244,Ref!$F$8))),"",1)</f>
        <v>1</v>
      </c>
    </row>
    <row r="251" spans="1:9" ht="48" hidden="1" customHeight="1" x14ac:dyDescent="0.25">
      <c r="A251" s="30"/>
      <c r="B251" s="94"/>
      <c r="C251" s="87" t="s">
        <v>125</v>
      </c>
      <c r="D251" s="87"/>
      <c r="E251" s="6"/>
      <c r="F251" s="87" t="s">
        <v>135</v>
      </c>
      <c r="G251" s="95"/>
      <c r="I251">
        <f>IF(OR(ISNUMBER(SEARCH(Ref!$H245,Ref!$F$2)),ISNUMBER(SEARCH(Ref!$H245,Ref!$F$3)),ISNUMBER(SEARCH(Ref!$H245,Ref!$F$4)),ISNUMBER(SEARCH(Ref!$H245,Ref!$F$5)),ISNUMBER(SEARCH(Ref!$H245,Ref!$F$6)),ISNUMBER(SEARCH(Ref!$H245,Ref!$F$7)),ISNUMBER(SEARCH(Ref!$H245,Ref!$F$8))),"",1)</f>
        <v>1</v>
      </c>
    </row>
    <row r="252" spans="1:9" ht="48" hidden="1" customHeight="1" x14ac:dyDescent="0.25">
      <c r="A252" s="30"/>
      <c r="B252" s="94"/>
      <c r="C252" s="87" t="s">
        <v>125</v>
      </c>
      <c r="D252" s="87"/>
      <c r="E252" s="6"/>
      <c r="F252" s="87" t="s">
        <v>136</v>
      </c>
      <c r="G252" s="95"/>
      <c r="I252">
        <f>IF(OR(ISNUMBER(SEARCH(Ref!$H246,Ref!$F$2)),ISNUMBER(SEARCH(Ref!$H246,Ref!$F$3)),ISNUMBER(SEARCH(Ref!$H246,Ref!$F$4)),ISNUMBER(SEARCH(Ref!$H246,Ref!$F$5)),ISNUMBER(SEARCH(Ref!$H246,Ref!$F$6)),ISNUMBER(SEARCH(Ref!$H246,Ref!$F$7)),ISNUMBER(SEARCH(Ref!$H246,Ref!$F$8))),"",1)</f>
        <v>1</v>
      </c>
    </row>
    <row r="253" spans="1:9" ht="48" hidden="1" customHeight="1" x14ac:dyDescent="0.25">
      <c r="A253" s="30"/>
      <c r="B253" s="94"/>
      <c r="C253" s="87" t="s">
        <v>125</v>
      </c>
      <c r="D253" s="87"/>
      <c r="E253" s="6"/>
      <c r="F253" s="87" t="s">
        <v>137</v>
      </c>
      <c r="G253" s="95"/>
      <c r="I253">
        <f>IF(OR(ISNUMBER(SEARCH(Ref!$H247,Ref!$F$2)),ISNUMBER(SEARCH(Ref!$H247,Ref!$F$3)),ISNUMBER(SEARCH(Ref!$H247,Ref!$F$4)),ISNUMBER(SEARCH(Ref!$H247,Ref!$F$5)),ISNUMBER(SEARCH(Ref!$H247,Ref!$F$6)),ISNUMBER(SEARCH(Ref!$H247,Ref!$F$7)),ISNUMBER(SEARCH(Ref!$H247,Ref!$F$8))),"",1)</f>
        <v>1</v>
      </c>
    </row>
    <row r="254" spans="1:9" ht="48" hidden="1" customHeight="1" x14ac:dyDescent="0.25">
      <c r="A254" s="30"/>
      <c r="B254" s="94"/>
      <c r="C254" s="87" t="s">
        <v>125</v>
      </c>
      <c r="D254" s="87"/>
      <c r="E254" s="6"/>
      <c r="F254" s="87" t="s">
        <v>138</v>
      </c>
      <c r="G254" s="95"/>
      <c r="I254">
        <f>IF(OR(ISNUMBER(SEARCH(Ref!$H248,Ref!$F$2)),ISNUMBER(SEARCH(Ref!$H248,Ref!$F$3)),ISNUMBER(SEARCH(Ref!$H248,Ref!$F$4)),ISNUMBER(SEARCH(Ref!$H248,Ref!$F$5)),ISNUMBER(SEARCH(Ref!$H248,Ref!$F$6)),ISNUMBER(SEARCH(Ref!$H248,Ref!$F$7)),ISNUMBER(SEARCH(Ref!$H248,Ref!$F$8))),"",1)</f>
        <v>1</v>
      </c>
    </row>
    <row r="255" spans="1:9" ht="48" hidden="1" customHeight="1" x14ac:dyDescent="0.25">
      <c r="A255" s="30"/>
      <c r="B255" s="94"/>
      <c r="C255" s="87" t="s">
        <v>125</v>
      </c>
      <c r="D255" s="87"/>
      <c r="E255" s="6"/>
      <c r="F255" s="87" t="s">
        <v>139</v>
      </c>
      <c r="G255" s="95"/>
      <c r="I255">
        <f>IF(OR(ISNUMBER(SEARCH(Ref!$H249,Ref!$F$2)),ISNUMBER(SEARCH(Ref!$H249,Ref!$F$3)),ISNUMBER(SEARCH(Ref!$H249,Ref!$F$4)),ISNUMBER(SEARCH(Ref!$H249,Ref!$F$5)),ISNUMBER(SEARCH(Ref!$H249,Ref!$F$6)),ISNUMBER(SEARCH(Ref!$H249,Ref!$F$7)),ISNUMBER(SEARCH(Ref!$H249,Ref!$F$8))),"",1)</f>
        <v>1</v>
      </c>
    </row>
    <row r="256" spans="1:9" ht="48" hidden="1" customHeight="1" x14ac:dyDescent="0.25">
      <c r="A256" s="30"/>
      <c r="B256" s="94"/>
      <c r="C256" s="87" t="s">
        <v>126</v>
      </c>
      <c r="D256" s="87"/>
      <c r="E256" s="6"/>
      <c r="F256" s="87" t="s">
        <v>130</v>
      </c>
      <c r="G256" s="95"/>
      <c r="I256">
        <f>IF(OR(ISNUMBER(SEARCH(Ref!$H250,Ref!$F$2)),ISNUMBER(SEARCH(Ref!$H250,Ref!$F$3)),ISNUMBER(SEARCH(Ref!$H250,Ref!$F$4)),ISNUMBER(SEARCH(Ref!$H250,Ref!$F$5)),ISNUMBER(SEARCH(Ref!$H250,Ref!$F$6)),ISNUMBER(SEARCH(Ref!$H250,Ref!$F$7)),ISNUMBER(SEARCH(Ref!$H250,Ref!$F$8))),"",1)</f>
        <v>1</v>
      </c>
    </row>
    <row r="257" spans="1:9" ht="48" hidden="1" customHeight="1" x14ac:dyDescent="0.25">
      <c r="A257" s="30"/>
      <c r="B257" s="94"/>
      <c r="C257" s="87" t="s">
        <v>126</v>
      </c>
      <c r="D257" s="87"/>
      <c r="E257" s="6"/>
      <c r="F257" s="87" t="s">
        <v>131</v>
      </c>
      <c r="G257" s="95"/>
      <c r="I257">
        <f>IF(OR(ISNUMBER(SEARCH(Ref!$H251,Ref!$F$2)),ISNUMBER(SEARCH(Ref!$H251,Ref!$F$3)),ISNUMBER(SEARCH(Ref!$H251,Ref!$F$4)),ISNUMBER(SEARCH(Ref!$H251,Ref!$F$5)),ISNUMBER(SEARCH(Ref!$H251,Ref!$F$6)),ISNUMBER(SEARCH(Ref!$H251,Ref!$F$7)),ISNUMBER(SEARCH(Ref!$H251,Ref!$F$8))),"",1)</f>
        <v>1</v>
      </c>
    </row>
    <row r="258" spans="1:9" ht="48" hidden="1" customHeight="1" x14ac:dyDescent="0.25">
      <c r="A258" s="30"/>
      <c r="B258" s="94"/>
      <c r="C258" s="87" t="s">
        <v>126</v>
      </c>
      <c r="D258" s="87"/>
      <c r="E258" s="6"/>
      <c r="F258" s="87" t="s">
        <v>132</v>
      </c>
      <c r="G258" s="95"/>
      <c r="I258">
        <f>IF(OR(ISNUMBER(SEARCH(Ref!$H252,Ref!$F$2)),ISNUMBER(SEARCH(Ref!$H252,Ref!$F$3)),ISNUMBER(SEARCH(Ref!$H252,Ref!$F$4)),ISNUMBER(SEARCH(Ref!$H252,Ref!$F$5)),ISNUMBER(SEARCH(Ref!$H252,Ref!$F$6)),ISNUMBER(SEARCH(Ref!$H252,Ref!$F$7)),ISNUMBER(SEARCH(Ref!$H252,Ref!$F$8))),"",1)</f>
        <v>1</v>
      </c>
    </row>
    <row r="259" spans="1:9" ht="48" hidden="1" customHeight="1" x14ac:dyDescent="0.25">
      <c r="A259" s="30"/>
      <c r="B259" s="94"/>
      <c r="C259" s="87" t="s">
        <v>126</v>
      </c>
      <c r="D259" s="87"/>
      <c r="E259" s="6"/>
      <c r="F259" s="87" t="s">
        <v>133</v>
      </c>
      <c r="G259" s="95"/>
      <c r="I259">
        <f>IF(OR(ISNUMBER(SEARCH(Ref!$H253,Ref!$F$2)),ISNUMBER(SEARCH(Ref!$H253,Ref!$F$3)),ISNUMBER(SEARCH(Ref!$H253,Ref!$F$4)),ISNUMBER(SEARCH(Ref!$H253,Ref!$F$5)),ISNUMBER(SEARCH(Ref!$H253,Ref!$F$6)),ISNUMBER(SEARCH(Ref!$H253,Ref!$F$7)),ISNUMBER(SEARCH(Ref!$H253,Ref!$F$8))),"",1)</f>
        <v>1</v>
      </c>
    </row>
    <row r="260" spans="1:9" ht="48" hidden="1" customHeight="1" x14ac:dyDescent="0.25">
      <c r="A260" s="30"/>
      <c r="B260" s="94"/>
      <c r="C260" s="87" t="s">
        <v>126</v>
      </c>
      <c r="D260" s="87"/>
      <c r="E260" s="6"/>
      <c r="F260" s="87" t="s">
        <v>134</v>
      </c>
      <c r="G260" s="95"/>
      <c r="I260">
        <f>IF(OR(ISNUMBER(SEARCH(Ref!$H254,Ref!$F$2)),ISNUMBER(SEARCH(Ref!$H254,Ref!$F$3)),ISNUMBER(SEARCH(Ref!$H254,Ref!$F$4)),ISNUMBER(SEARCH(Ref!$H254,Ref!$F$5)),ISNUMBER(SEARCH(Ref!$H254,Ref!$F$6)),ISNUMBER(SEARCH(Ref!$H254,Ref!$F$7)),ISNUMBER(SEARCH(Ref!$H254,Ref!$F$8))),"",1)</f>
        <v>1</v>
      </c>
    </row>
    <row r="261" spans="1:9" ht="48" hidden="1" customHeight="1" x14ac:dyDescent="0.25">
      <c r="A261" s="30"/>
      <c r="B261" s="94"/>
      <c r="C261" s="87" t="s">
        <v>126</v>
      </c>
      <c r="D261" s="87"/>
      <c r="E261" s="6"/>
      <c r="F261" s="87" t="s">
        <v>135</v>
      </c>
      <c r="G261" s="95"/>
      <c r="I261">
        <f>IF(OR(ISNUMBER(SEARCH(Ref!$H255,Ref!$F$2)),ISNUMBER(SEARCH(Ref!$H255,Ref!$F$3)),ISNUMBER(SEARCH(Ref!$H255,Ref!$F$4)),ISNUMBER(SEARCH(Ref!$H255,Ref!$F$5)),ISNUMBER(SEARCH(Ref!$H255,Ref!$F$6)),ISNUMBER(SEARCH(Ref!$H255,Ref!$F$7)),ISNUMBER(SEARCH(Ref!$H255,Ref!$F$8))),"",1)</f>
        <v>1</v>
      </c>
    </row>
    <row r="262" spans="1:9" ht="48" hidden="1" customHeight="1" x14ac:dyDescent="0.25">
      <c r="A262" s="30"/>
      <c r="B262" s="94"/>
      <c r="C262" s="87" t="s">
        <v>126</v>
      </c>
      <c r="D262" s="87"/>
      <c r="E262" s="6"/>
      <c r="F262" s="87" t="s">
        <v>136</v>
      </c>
      <c r="G262" s="95"/>
      <c r="I262">
        <f>IF(OR(ISNUMBER(SEARCH(Ref!$H256,Ref!$F$2)),ISNUMBER(SEARCH(Ref!$H256,Ref!$F$3)),ISNUMBER(SEARCH(Ref!$H256,Ref!$F$4)),ISNUMBER(SEARCH(Ref!$H256,Ref!$F$5)),ISNUMBER(SEARCH(Ref!$H256,Ref!$F$6)),ISNUMBER(SEARCH(Ref!$H256,Ref!$F$7)),ISNUMBER(SEARCH(Ref!$H256,Ref!$F$8))),"",1)</f>
        <v>1</v>
      </c>
    </row>
    <row r="263" spans="1:9" ht="48" hidden="1" customHeight="1" x14ac:dyDescent="0.25">
      <c r="A263" s="30"/>
      <c r="B263" s="94"/>
      <c r="C263" s="87" t="s">
        <v>126</v>
      </c>
      <c r="D263" s="87"/>
      <c r="E263" s="6"/>
      <c r="F263" s="87" t="s">
        <v>137</v>
      </c>
      <c r="G263" s="95"/>
      <c r="I263">
        <f>IF(OR(ISNUMBER(SEARCH(Ref!$H257,Ref!$F$2)),ISNUMBER(SEARCH(Ref!$H257,Ref!$F$3)),ISNUMBER(SEARCH(Ref!$H257,Ref!$F$4)),ISNUMBER(SEARCH(Ref!$H257,Ref!$F$5)),ISNUMBER(SEARCH(Ref!$H257,Ref!$F$6)),ISNUMBER(SEARCH(Ref!$H257,Ref!$F$7)),ISNUMBER(SEARCH(Ref!$H257,Ref!$F$8))),"",1)</f>
        <v>1</v>
      </c>
    </row>
    <row r="264" spans="1:9" ht="48" hidden="1" customHeight="1" x14ac:dyDescent="0.25">
      <c r="A264" s="30"/>
      <c r="B264" s="94"/>
      <c r="C264" s="87" t="s">
        <v>126</v>
      </c>
      <c r="D264" s="87"/>
      <c r="E264" s="6"/>
      <c r="F264" s="87" t="s">
        <v>138</v>
      </c>
      <c r="G264" s="95"/>
      <c r="I264">
        <f>IF(OR(ISNUMBER(SEARCH(Ref!$H258,Ref!$F$2)),ISNUMBER(SEARCH(Ref!$H258,Ref!$F$3)),ISNUMBER(SEARCH(Ref!$H258,Ref!$F$4)),ISNUMBER(SEARCH(Ref!$H258,Ref!$F$5)),ISNUMBER(SEARCH(Ref!$H258,Ref!$F$6)),ISNUMBER(SEARCH(Ref!$H258,Ref!$F$7)),ISNUMBER(SEARCH(Ref!$H258,Ref!$F$8))),"",1)</f>
        <v>1</v>
      </c>
    </row>
    <row r="265" spans="1:9" ht="48" hidden="1" customHeight="1" x14ac:dyDescent="0.25">
      <c r="A265" s="30"/>
      <c r="B265" s="94"/>
      <c r="C265" s="87" t="s">
        <v>126</v>
      </c>
      <c r="D265" s="87"/>
      <c r="E265" s="6"/>
      <c r="F265" s="87" t="s">
        <v>139</v>
      </c>
      <c r="G265" s="95"/>
      <c r="I265">
        <f>IF(OR(ISNUMBER(SEARCH(Ref!$H259,Ref!$F$2)),ISNUMBER(SEARCH(Ref!$H259,Ref!$F$3)),ISNUMBER(SEARCH(Ref!$H259,Ref!$F$4)),ISNUMBER(SEARCH(Ref!$H259,Ref!$F$5)),ISNUMBER(SEARCH(Ref!$H259,Ref!$F$6)),ISNUMBER(SEARCH(Ref!$H259,Ref!$F$7)),ISNUMBER(SEARCH(Ref!$H259,Ref!$F$8))),"",1)</f>
        <v>1</v>
      </c>
    </row>
    <row r="266" spans="1:9" ht="48" hidden="1" customHeight="1" x14ac:dyDescent="0.25">
      <c r="A266" s="30"/>
      <c r="B266" s="94"/>
      <c r="C266" s="87" t="s">
        <v>127</v>
      </c>
      <c r="D266" s="87"/>
      <c r="E266" s="6"/>
      <c r="F266" s="87" t="s">
        <v>130</v>
      </c>
      <c r="G266" s="95"/>
      <c r="I266">
        <f>IF(OR(ISNUMBER(SEARCH(Ref!$H260,Ref!$F$2)),ISNUMBER(SEARCH(Ref!$H260,Ref!$F$3)),ISNUMBER(SEARCH(Ref!$H260,Ref!$F$4)),ISNUMBER(SEARCH(Ref!$H260,Ref!$F$5)),ISNUMBER(SEARCH(Ref!$H260,Ref!$F$6)),ISNUMBER(SEARCH(Ref!$H260,Ref!$F$7)),ISNUMBER(SEARCH(Ref!$H260,Ref!$F$8))),"",1)</f>
        <v>1</v>
      </c>
    </row>
    <row r="267" spans="1:9" ht="48" hidden="1" customHeight="1" x14ac:dyDescent="0.25">
      <c r="A267" s="30"/>
      <c r="B267" s="94"/>
      <c r="C267" s="87" t="s">
        <v>127</v>
      </c>
      <c r="D267" s="87"/>
      <c r="E267" s="6"/>
      <c r="F267" s="87" t="s">
        <v>131</v>
      </c>
      <c r="G267" s="95"/>
      <c r="I267">
        <f>IF(OR(ISNUMBER(SEARCH(Ref!$H261,Ref!$F$2)),ISNUMBER(SEARCH(Ref!$H261,Ref!$F$3)),ISNUMBER(SEARCH(Ref!$H261,Ref!$F$4)),ISNUMBER(SEARCH(Ref!$H261,Ref!$F$5)),ISNUMBER(SEARCH(Ref!$H261,Ref!$F$6)),ISNUMBER(SEARCH(Ref!$H261,Ref!$F$7)),ISNUMBER(SEARCH(Ref!$H261,Ref!$F$8))),"",1)</f>
        <v>1</v>
      </c>
    </row>
    <row r="268" spans="1:9" ht="48" hidden="1" customHeight="1" x14ac:dyDescent="0.25">
      <c r="A268" s="30"/>
      <c r="B268" s="94"/>
      <c r="C268" s="87" t="s">
        <v>127</v>
      </c>
      <c r="D268" s="87"/>
      <c r="E268" s="6"/>
      <c r="F268" s="87" t="s">
        <v>132</v>
      </c>
      <c r="G268" s="95"/>
      <c r="I268">
        <f>IF(OR(ISNUMBER(SEARCH(Ref!$H262,Ref!$F$2)),ISNUMBER(SEARCH(Ref!$H262,Ref!$F$3)),ISNUMBER(SEARCH(Ref!$H262,Ref!$F$4)),ISNUMBER(SEARCH(Ref!$H262,Ref!$F$5)),ISNUMBER(SEARCH(Ref!$H262,Ref!$F$6)),ISNUMBER(SEARCH(Ref!$H262,Ref!$F$7)),ISNUMBER(SEARCH(Ref!$H262,Ref!$F$8))),"",1)</f>
        <v>1</v>
      </c>
    </row>
    <row r="269" spans="1:9" ht="48" hidden="1" customHeight="1" x14ac:dyDescent="0.25">
      <c r="A269" s="30"/>
      <c r="B269" s="94"/>
      <c r="C269" s="87" t="s">
        <v>127</v>
      </c>
      <c r="D269" s="87"/>
      <c r="E269" s="6"/>
      <c r="F269" s="87" t="s">
        <v>133</v>
      </c>
      <c r="G269" s="95"/>
      <c r="I269">
        <f>IF(OR(ISNUMBER(SEARCH(Ref!$H263,Ref!$F$2)),ISNUMBER(SEARCH(Ref!$H263,Ref!$F$3)),ISNUMBER(SEARCH(Ref!$H263,Ref!$F$4)),ISNUMBER(SEARCH(Ref!$H263,Ref!$F$5)),ISNUMBER(SEARCH(Ref!$H263,Ref!$F$6)),ISNUMBER(SEARCH(Ref!$H263,Ref!$F$7)),ISNUMBER(SEARCH(Ref!$H263,Ref!$F$8))),"",1)</f>
        <v>1</v>
      </c>
    </row>
    <row r="270" spans="1:9" ht="48" hidden="1" customHeight="1" x14ac:dyDescent="0.25">
      <c r="A270" s="30"/>
      <c r="B270" s="94"/>
      <c r="C270" s="87" t="s">
        <v>127</v>
      </c>
      <c r="D270" s="87"/>
      <c r="E270" s="6"/>
      <c r="F270" s="87" t="s">
        <v>134</v>
      </c>
      <c r="G270" s="95"/>
      <c r="I270">
        <f>IF(OR(ISNUMBER(SEARCH(Ref!$H264,Ref!$F$2)),ISNUMBER(SEARCH(Ref!$H264,Ref!$F$3)),ISNUMBER(SEARCH(Ref!$H264,Ref!$F$4)),ISNUMBER(SEARCH(Ref!$H264,Ref!$F$5)),ISNUMBER(SEARCH(Ref!$H264,Ref!$F$6)),ISNUMBER(SEARCH(Ref!$H264,Ref!$F$7)),ISNUMBER(SEARCH(Ref!$H264,Ref!$F$8))),"",1)</f>
        <v>1</v>
      </c>
    </row>
    <row r="271" spans="1:9" ht="48" hidden="1" customHeight="1" x14ac:dyDescent="0.25">
      <c r="A271" s="30"/>
      <c r="B271" s="94"/>
      <c r="C271" s="87" t="s">
        <v>127</v>
      </c>
      <c r="D271" s="87"/>
      <c r="E271" s="6"/>
      <c r="F271" s="87" t="s">
        <v>135</v>
      </c>
      <c r="G271" s="95"/>
      <c r="I271">
        <f>IF(OR(ISNUMBER(SEARCH(Ref!$H265,Ref!$F$2)),ISNUMBER(SEARCH(Ref!$H265,Ref!$F$3)),ISNUMBER(SEARCH(Ref!$H265,Ref!$F$4)),ISNUMBER(SEARCH(Ref!$H265,Ref!$F$5)),ISNUMBER(SEARCH(Ref!$H265,Ref!$F$6)),ISNUMBER(SEARCH(Ref!$H265,Ref!$F$7)),ISNUMBER(SEARCH(Ref!$H265,Ref!$F$8))),"",1)</f>
        <v>1</v>
      </c>
    </row>
    <row r="272" spans="1:9" ht="48" hidden="1" customHeight="1" x14ac:dyDescent="0.25">
      <c r="A272" s="30"/>
      <c r="B272" s="94"/>
      <c r="C272" s="87" t="s">
        <v>127</v>
      </c>
      <c r="D272" s="87"/>
      <c r="E272" s="6"/>
      <c r="F272" s="87" t="s">
        <v>136</v>
      </c>
      <c r="G272" s="95"/>
      <c r="I272">
        <f>IF(OR(ISNUMBER(SEARCH(Ref!$H266,Ref!$F$2)),ISNUMBER(SEARCH(Ref!$H266,Ref!$F$3)),ISNUMBER(SEARCH(Ref!$H266,Ref!$F$4)),ISNUMBER(SEARCH(Ref!$H266,Ref!$F$5)),ISNUMBER(SEARCH(Ref!$H266,Ref!$F$6)),ISNUMBER(SEARCH(Ref!$H266,Ref!$F$7)),ISNUMBER(SEARCH(Ref!$H266,Ref!$F$8))),"",1)</f>
        <v>1</v>
      </c>
    </row>
    <row r="273" spans="1:9" ht="48" hidden="1" customHeight="1" x14ac:dyDescent="0.25">
      <c r="A273" s="30"/>
      <c r="B273" s="94"/>
      <c r="C273" s="87" t="s">
        <v>127</v>
      </c>
      <c r="D273" s="87"/>
      <c r="E273" s="6"/>
      <c r="F273" s="87" t="s">
        <v>137</v>
      </c>
      <c r="G273" s="95"/>
      <c r="I273">
        <f>IF(OR(ISNUMBER(SEARCH(Ref!$H267,Ref!$F$2)),ISNUMBER(SEARCH(Ref!$H267,Ref!$F$3)),ISNUMBER(SEARCH(Ref!$H267,Ref!$F$4)),ISNUMBER(SEARCH(Ref!$H267,Ref!$F$5)),ISNUMBER(SEARCH(Ref!$H267,Ref!$F$6)),ISNUMBER(SEARCH(Ref!$H267,Ref!$F$7)),ISNUMBER(SEARCH(Ref!$H267,Ref!$F$8))),"",1)</f>
        <v>1</v>
      </c>
    </row>
    <row r="274" spans="1:9" ht="48" hidden="1" customHeight="1" x14ac:dyDescent="0.25">
      <c r="A274" s="30"/>
      <c r="B274" s="94"/>
      <c r="C274" s="87" t="s">
        <v>127</v>
      </c>
      <c r="D274" s="87"/>
      <c r="E274" s="6"/>
      <c r="F274" s="87" t="s">
        <v>138</v>
      </c>
      <c r="G274" s="95"/>
      <c r="I274">
        <f>IF(OR(ISNUMBER(SEARCH(Ref!$H268,Ref!$F$2)),ISNUMBER(SEARCH(Ref!$H268,Ref!$F$3)),ISNUMBER(SEARCH(Ref!$H268,Ref!$F$4)),ISNUMBER(SEARCH(Ref!$H268,Ref!$F$5)),ISNUMBER(SEARCH(Ref!$H268,Ref!$F$6)),ISNUMBER(SEARCH(Ref!$H268,Ref!$F$7)),ISNUMBER(SEARCH(Ref!$H268,Ref!$F$8))),"",1)</f>
        <v>1</v>
      </c>
    </row>
    <row r="275" spans="1:9" ht="48" hidden="1" customHeight="1" x14ac:dyDescent="0.25">
      <c r="A275" s="30"/>
      <c r="B275" s="94"/>
      <c r="C275" s="87" t="s">
        <v>127</v>
      </c>
      <c r="D275" s="87"/>
      <c r="E275" s="6"/>
      <c r="F275" s="87" t="s">
        <v>139</v>
      </c>
      <c r="G275" s="95"/>
      <c r="I275">
        <f>IF(OR(ISNUMBER(SEARCH(Ref!$H269,Ref!$F$2)),ISNUMBER(SEARCH(Ref!$H269,Ref!$F$3)),ISNUMBER(SEARCH(Ref!$H269,Ref!$F$4)),ISNUMBER(SEARCH(Ref!$H269,Ref!$F$5)),ISNUMBER(SEARCH(Ref!$H269,Ref!$F$6)),ISNUMBER(SEARCH(Ref!$H269,Ref!$F$7)),ISNUMBER(SEARCH(Ref!$H269,Ref!$F$8))),"",1)</f>
        <v>1</v>
      </c>
    </row>
    <row r="276" spans="1:9" ht="48" hidden="1" customHeight="1" x14ac:dyDescent="0.25">
      <c r="A276" s="30"/>
      <c r="B276" s="94"/>
      <c r="C276" s="87" t="s">
        <v>128</v>
      </c>
      <c r="D276" s="87"/>
      <c r="E276" s="6"/>
      <c r="F276" s="87" t="s">
        <v>130</v>
      </c>
      <c r="G276" s="95"/>
      <c r="I276">
        <f>IF(OR(ISNUMBER(SEARCH(Ref!$H270,Ref!$F$2)),ISNUMBER(SEARCH(Ref!$H270,Ref!$F$3)),ISNUMBER(SEARCH(Ref!$H270,Ref!$F$4)),ISNUMBER(SEARCH(Ref!$H270,Ref!$F$5)),ISNUMBER(SEARCH(Ref!$H270,Ref!$F$6)),ISNUMBER(SEARCH(Ref!$H270,Ref!$F$7)),ISNUMBER(SEARCH(Ref!$H270,Ref!$F$8))),"",1)</f>
        <v>1</v>
      </c>
    </row>
    <row r="277" spans="1:9" ht="48" hidden="1" customHeight="1" x14ac:dyDescent="0.25">
      <c r="A277" s="30"/>
      <c r="B277" s="94"/>
      <c r="C277" s="87" t="s">
        <v>128</v>
      </c>
      <c r="D277" s="87"/>
      <c r="E277" s="6"/>
      <c r="F277" s="87" t="s">
        <v>131</v>
      </c>
      <c r="G277" s="95"/>
      <c r="I277">
        <f>IF(OR(ISNUMBER(SEARCH(Ref!$H271,Ref!$F$2)),ISNUMBER(SEARCH(Ref!$H271,Ref!$F$3)),ISNUMBER(SEARCH(Ref!$H271,Ref!$F$4)),ISNUMBER(SEARCH(Ref!$H271,Ref!$F$5)),ISNUMBER(SEARCH(Ref!$H271,Ref!$F$6)),ISNUMBER(SEARCH(Ref!$H271,Ref!$F$7)),ISNUMBER(SEARCH(Ref!$H271,Ref!$F$8))),"",1)</f>
        <v>1</v>
      </c>
    </row>
    <row r="278" spans="1:9" ht="48" hidden="1" customHeight="1" x14ac:dyDescent="0.25">
      <c r="A278" s="30"/>
      <c r="B278" s="94"/>
      <c r="C278" s="87" t="s">
        <v>128</v>
      </c>
      <c r="D278" s="87"/>
      <c r="E278" s="6"/>
      <c r="F278" s="87" t="s">
        <v>132</v>
      </c>
      <c r="G278" s="95"/>
      <c r="I278">
        <f>IF(OR(ISNUMBER(SEARCH(Ref!$H272,Ref!$F$2)),ISNUMBER(SEARCH(Ref!$H272,Ref!$F$3)),ISNUMBER(SEARCH(Ref!$H272,Ref!$F$4)),ISNUMBER(SEARCH(Ref!$H272,Ref!$F$5)),ISNUMBER(SEARCH(Ref!$H272,Ref!$F$6)),ISNUMBER(SEARCH(Ref!$H272,Ref!$F$7)),ISNUMBER(SEARCH(Ref!$H272,Ref!$F$8))),"",1)</f>
        <v>1</v>
      </c>
    </row>
    <row r="279" spans="1:9" ht="48" hidden="1" customHeight="1" x14ac:dyDescent="0.25">
      <c r="A279" s="30"/>
      <c r="B279" s="94"/>
      <c r="C279" s="87" t="s">
        <v>128</v>
      </c>
      <c r="D279" s="87"/>
      <c r="E279" s="6"/>
      <c r="F279" s="87" t="s">
        <v>133</v>
      </c>
      <c r="G279" s="95"/>
      <c r="I279">
        <f>IF(OR(ISNUMBER(SEARCH(Ref!$H273,Ref!$F$2)),ISNUMBER(SEARCH(Ref!$H273,Ref!$F$3)),ISNUMBER(SEARCH(Ref!$H273,Ref!$F$4)),ISNUMBER(SEARCH(Ref!$H273,Ref!$F$5)),ISNUMBER(SEARCH(Ref!$H273,Ref!$F$6)),ISNUMBER(SEARCH(Ref!$H273,Ref!$F$7)),ISNUMBER(SEARCH(Ref!$H273,Ref!$F$8))),"",1)</f>
        <v>1</v>
      </c>
    </row>
    <row r="280" spans="1:9" ht="48" hidden="1" customHeight="1" x14ac:dyDescent="0.25">
      <c r="A280" s="30"/>
      <c r="B280" s="94"/>
      <c r="C280" s="87" t="s">
        <v>128</v>
      </c>
      <c r="D280" s="87"/>
      <c r="E280" s="6"/>
      <c r="F280" s="87" t="s">
        <v>134</v>
      </c>
      <c r="G280" s="95"/>
      <c r="I280">
        <f>IF(OR(ISNUMBER(SEARCH(Ref!$H274,Ref!$F$2)),ISNUMBER(SEARCH(Ref!$H274,Ref!$F$3)),ISNUMBER(SEARCH(Ref!$H274,Ref!$F$4)),ISNUMBER(SEARCH(Ref!$H274,Ref!$F$5)),ISNUMBER(SEARCH(Ref!$H274,Ref!$F$6)),ISNUMBER(SEARCH(Ref!$H274,Ref!$F$7)),ISNUMBER(SEARCH(Ref!$H274,Ref!$F$8))),"",1)</f>
        <v>1</v>
      </c>
    </row>
    <row r="281" spans="1:9" ht="48" hidden="1" customHeight="1" x14ac:dyDescent="0.25">
      <c r="A281" s="30"/>
      <c r="B281" s="94"/>
      <c r="C281" s="87" t="s">
        <v>128</v>
      </c>
      <c r="D281" s="87"/>
      <c r="E281" s="6"/>
      <c r="F281" s="87" t="s">
        <v>135</v>
      </c>
      <c r="G281" s="95"/>
      <c r="I281">
        <f>IF(OR(ISNUMBER(SEARCH(Ref!$H275,Ref!$F$2)),ISNUMBER(SEARCH(Ref!$H275,Ref!$F$3)),ISNUMBER(SEARCH(Ref!$H275,Ref!$F$4)),ISNUMBER(SEARCH(Ref!$H275,Ref!$F$5)),ISNUMBER(SEARCH(Ref!$H275,Ref!$F$6)),ISNUMBER(SEARCH(Ref!$H275,Ref!$F$7)),ISNUMBER(SEARCH(Ref!$H275,Ref!$F$8))),"",1)</f>
        <v>1</v>
      </c>
    </row>
    <row r="282" spans="1:9" ht="48" hidden="1" customHeight="1" x14ac:dyDescent="0.25">
      <c r="A282" s="30"/>
      <c r="B282" s="94"/>
      <c r="C282" s="87" t="s">
        <v>128</v>
      </c>
      <c r="D282" s="87"/>
      <c r="E282" s="6"/>
      <c r="F282" s="87" t="s">
        <v>136</v>
      </c>
      <c r="G282" s="95"/>
      <c r="I282">
        <f>IF(OR(ISNUMBER(SEARCH(Ref!$H276,Ref!$F$2)),ISNUMBER(SEARCH(Ref!$H276,Ref!$F$3)),ISNUMBER(SEARCH(Ref!$H276,Ref!$F$4)),ISNUMBER(SEARCH(Ref!$H276,Ref!$F$5)),ISNUMBER(SEARCH(Ref!$H276,Ref!$F$6)),ISNUMBER(SEARCH(Ref!$H276,Ref!$F$7)),ISNUMBER(SEARCH(Ref!$H276,Ref!$F$8))),"",1)</f>
        <v>1</v>
      </c>
    </row>
    <row r="283" spans="1:9" ht="48" hidden="1" customHeight="1" x14ac:dyDescent="0.25">
      <c r="A283" s="30"/>
      <c r="B283" s="94"/>
      <c r="C283" s="87" t="s">
        <v>128</v>
      </c>
      <c r="D283" s="87"/>
      <c r="E283" s="6"/>
      <c r="F283" s="87" t="s">
        <v>137</v>
      </c>
      <c r="G283" s="95"/>
      <c r="I283">
        <f>IF(OR(ISNUMBER(SEARCH(Ref!$H277,Ref!$F$2)),ISNUMBER(SEARCH(Ref!$H277,Ref!$F$3)),ISNUMBER(SEARCH(Ref!$H277,Ref!$F$4)),ISNUMBER(SEARCH(Ref!$H277,Ref!$F$5)),ISNUMBER(SEARCH(Ref!$H277,Ref!$F$6)),ISNUMBER(SEARCH(Ref!$H277,Ref!$F$7)),ISNUMBER(SEARCH(Ref!$H277,Ref!$F$8))),"",1)</f>
        <v>1</v>
      </c>
    </row>
    <row r="284" spans="1:9" ht="48" hidden="1" customHeight="1" x14ac:dyDescent="0.25">
      <c r="A284" s="30"/>
      <c r="B284" s="94"/>
      <c r="C284" s="87" t="s">
        <v>128</v>
      </c>
      <c r="D284" s="87"/>
      <c r="E284" s="6"/>
      <c r="F284" s="87" t="s">
        <v>138</v>
      </c>
      <c r="G284" s="95"/>
      <c r="I284">
        <f>IF(OR(ISNUMBER(SEARCH(Ref!$H278,Ref!$F$2)),ISNUMBER(SEARCH(Ref!$H278,Ref!$F$3)),ISNUMBER(SEARCH(Ref!$H278,Ref!$F$4)),ISNUMBER(SEARCH(Ref!$H278,Ref!$F$5)),ISNUMBER(SEARCH(Ref!$H278,Ref!$F$6)),ISNUMBER(SEARCH(Ref!$H278,Ref!$F$7)),ISNUMBER(SEARCH(Ref!$H278,Ref!$F$8))),"",1)</f>
        <v>1</v>
      </c>
    </row>
    <row r="285" spans="1:9" ht="48" hidden="1" customHeight="1" x14ac:dyDescent="0.25">
      <c r="A285" s="30"/>
      <c r="B285" s="94"/>
      <c r="C285" s="87" t="s">
        <v>128</v>
      </c>
      <c r="D285" s="87"/>
      <c r="E285" s="6"/>
      <c r="F285" s="87" t="s">
        <v>139</v>
      </c>
      <c r="G285" s="95"/>
      <c r="I285">
        <f>IF(OR(ISNUMBER(SEARCH(Ref!$H279,Ref!$F$2)),ISNUMBER(SEARCH(Ref!$H279,Ref!$F$3)),ISNUMBER(SEARCH(Ref!$H279,Ref!$F$4)),ISNUMBER(SEARCH(Ref!$H279,Ref!$F$5)),ISNUMBER(SEARCH(Ref!$H279,Ref!$F$6)),ISNUMBER(SEARCH(Ref!$H279,Ref!$F$7)),ISNUMBER(SEARCH(Ref!$H279,Ref!$F$8))),"",1)</f>
        <v>1</v>
      </c>
    </row>
    <row r="286" spans="1:9" ht="48" hidden="1" customHeight="1" x14ac:dyDescent="0.25">
      <c r="A286" s="30"/>
      <c r="B286" s="94"/>
      <c r="C286" s="87" t="s">
        <v>129</v>
      </c>
      <c r="D286" s="87"/>
      <c r="E286" s="6"/>
      <c r="F286" s="87" t="s">
        <v>130</v>
      </c>
      <c r="G286" s="95"/>
      <c r="I286">
        <f>IF(OR(ISNUMBER(SEARCH(Ref!$H280,Ref!$F$2)),ISNUMBER(SEARCH(Ref!$H280,Ref!$F$3)),ISNUMBER(SEARCH(Ref!$H280,Ref!$F$4)),ISNUMBER(SEARCH(Ref!$H280,Ref!$F$5)),ISNUMBER(SEARCH(Ref!$H280,Ref!$F$6)),ISNUMBER(SEARCH(Ref!$H280,Ref!$F$7)),ISNUMBER(SEARCH(Ref!$H280,Ref!$F$8))),"",1)</f>
        <v>1</v>
      </c>
    </row>
    <row r="287" spans="1:9" ht="48" hidden="1" customHeight="1" x14ac:dyDescent="0.25">
      <c r="A287" s="30"/>
      <c r="B287" s="94"/>
      <c r="C287" s="87" t="s">
        <v>129</v>
      </c>
      <c r="D287" s="87"/>
      <c r="E287" s="6"/>
      <c r="F287" s="87" t="s">
        <v>131</v>
      </c>
      <c r="G287" s="95"/>
      <c r="I287">
        <f>IF(OR(ISNUMBER(SEARCH(Ref!$H281,Ref!$F$2)),ISNUMBER(SEARCH(Ref!$H281,Ref!$F$3)),ISNUMBER(SEARCH(Ref!$H281,Ref!$F$4)),ISNUMBER(SEARCH(Ref!$H281,Ref!$F$5)),ISNUMBER(SEARCH(Ref!$H281,Ref!$F$6)),ISNUMBER(SEARCH(Ref!$H281,Ref!$F$7)),ISNUMBER(SEARCH(Ref!$H281,Ref!$F$8))),"",1)</f>
        <v>1</v>
      </c>
    </row>
    <row r="288" spans="1:9" ht="48" hidden="1" customHeight="1" x14ac:dyDescent="0.25">
      <c r="A288" s="30"/>
      <c r="B288" s="94"/>
      <c r="C288" s="87" t="s">
        <v>129</v>
      </c>
      <c r="D288" s="87"/>
      <c r="E288" s="6"/>
      <c r="F288" s="87" t="s">
        <v>132</v>
      </c>
      <c r="G288" s="95"/>
      <c r="I288">
        <f>IF(OR(ISNUMBER(SEARCH(Ref!$H282,Ref!$F$2)),ISNUMBER(SEARCH(Ref!$H282,Ref!$F$3)),ISNUMBER(SEARCH(Ref!$H282,Ref!$F$4)),ISNUMBER(SEARCH(Ref!$H282,Ref!$F$5)),ISNUMBER(SEARCH(Ref!$H282,Ref!$F$6)),ISNUMBER(SEARCH(Ref!$H282,Ref!$F$7)),ISNUMBER(SEARCH(Ref!$H282,Ref!$F$8))),"",1)</f>
        <v>1</v>
      </c>
    </row>
    <row r="289" spans="1:9" ht="48" hidden="1" customHeight="1" x14ac:dyDescent="0.25">
      <c r="A289" s="30"/>
      <c r="B289" s="94"/>
      <c r="C289" s="87" t="s">
        <v>129</v>
      </c>
      <c r="D289" s="87"/>
      <c r="E289" s="6"/>
      <c r="F289" s="87" t="s">
        <v>133</v>
      </c>
      <c r="G289" s="95"/>
      <c r="I289">
        <f>IF(OR(ISNUMBER(SEARCH(Ref!$H283,Ref!$F$2)),ISNUMBER(SEARCH(Ref!$H283,Ref!$F$3)),ISNUMBER(SEARCH(Ref!$H283,Ref!$F$4)),ISNUMBER(SEARCH(Ref!$H283,Ref!$F$5)),ISNUMBER(SEARCH(Ref!$H283,Ref!$F$6)),ISNUMBER(SEARCH(Ref!$H283,Ref!$F$7)),ISNUMBER(SEARCH(Ref!$H283,Ref!$F$8))),"",1)</f>
        <v>1</v>
      </c>
    </row>
    <row r="290" spans="1:9" ht="48" hidden="1" customHeight="1" x14ac:dyDescent="0.25">
      <c r="A290" s="30"/>
      <c r="B290" s="94"/>
      <c r="C290" s="87" t="s">
        <v>129</v>
      </c>
      <c r="D290" s="87"/>
      <c r="E290" s="6"/>
      <c r="F290" s="87" t="s">
        <v>134</v>
      </c>
      <c r="G290" s="95"/>
      <c r="I290">
        <f>IF(OR(ISNUMBER(SEARCH(Ref!$H284,Ref!$F$2)),ISNUMBER(SEARCH(Ref!$H284,Ref!$F$3)),ISNUMBER(SEARCH(Ref!$H284,Ref!$F$4)),ISNUMBER(SEARCH(Ref!$H284,Ref!$F$5)),ISNUMBER(SEARCH(Ref!$H284,Ref!$F$6)),ISNUMBER(SEARCH(Ref!$H284,Ref!$F$7)),ISNUMBER(SEARCH(Ref!$H284,Ref!$F$8))),"",1)</f>
        <v>1</v>
      </c>
    </row>
    <row r="291" spans="1:9" ht="48" hidden="1" customHeight="1" x14ac:dyDescent="0.25">
      <c r="A291" s="30"/>
      <c r="B291" s="94"/>
      <c r="C291" s="87" t="s">
        <v>129</v>
      </c>
      <c r="D291" s="87"/>
      <c r="E291" s="6"/>
      <c r="F291" s="87" t="s">
        <v>135</v>
      </c>
      <c r="G291" s="95"/>
      <c r="I291">
        <f>IF(OR(ISNUMBER(SEARCH(Ref!$H285,Ref!$F$2)),ISNUMBER(SEARCH(Ref!$H285,Ref!$F$3)),ISNUMBER(SEARCH(Ref!$H285,Ref!$F$4)),ISNUMBER(SEARCH(Ref!$H285,Ref!$F$5)),ISNUMBER(SEARCH(Ref!$H285,Ref!$F$6)),ISNUMBER(SEARCH(Ref!$H285,Ref!$F$7)),ISNUMBER(SEARCH(Ref!$H285,Ref!$F$8))),"",1)</f>
        <v>1</v>
      </c>
    </row>
    <row r="292" spans="1:9" ht="48" hidden="1" customHeight="1" x14ac:dyDescent="0.25">
      <c r="A292" s="30"/>
      <c r="B292" s="94"/>
      <c r="C292" s="87" t="s">
        <v>129</v>
      </c>
      <c r="D292" s="87"/>
      <c r="E292" s="6"/>
      <c r="F292" s="87" t="s">
        <v>136</v>
      </c>
      <c r="G292" s="95"/>
      <c r="I292">
        <f>IF(OR(ISNUMBER(SEARCH(Ref!$H286,Ref!$F$2)),ISNUMBER(SEARCH(Ref!$H286,Ref!$F$3)),ISNUMBER(SEARCH(Ref!$H286,Ref!$F$4)),ISNUMBER(SEARCH(Ref!$H286,Ref!$F$5)),ISNUMBER(SEARCH(Ref!$H286,Ref!$F$6)),ISNUMBER(SEARCH(Ref!$H286,Ref!$F$7)),ISNUMBER(SEARCH(Ref!$H286,Ref!$F$8))),"",1)</f>
        <v>1</v>
      </c>
    </row>
    <row r="293" spans="1:9" ht="48" hidden="1" customHeight="1" x14ac:dyDescent="0.25">
      <c r="A293" s="30"/>
      <c r="B293" s="94"/>
      <c r="C293" s="87" t="s">
        <v>129</v>
      </c>
      <c r="D293" s="87"/>
      <c r="E293" s="6"/>
      <c r="F293" s="87" t="s">
        <v>137</v>
      </c>
      <c r="G293" s="95"/>
      <c r="I293">
        <f>IF(OR(ISNUMBER(SEARCH(Ref!$H287,Ref!$F$2)),ISNUMBER(SEARCH(Ref!$H287,Ref!$F$3)),ISNUMBER(SEARCH(Ref!$H287,Ref!$F$4)),ISNUMBER(SEARCH(Ref!$H287,Ref!$F$5)),ISNUMBER(SEARCH(Ref!$H287,Ref!$F$6)),ISNUMBER(SEARCH(Ref!$H287,Ref!$F$7)),ISNUMBER(SEARCH(Ref!$H287,Ref!$F$8))),"",1)</f>
        <v>1</v>
      </c>
    </row>
    <row r="294" spans="1:9" ht="48" hidden="1" customHeight="1" x14ac:dyDescent="0.25">
      <c r="A294" s="30"/>
      <c r="B294" s="94"/>
      <c r="C294" s="87" t="s">
        <v>129</v>
      </c>
      <c r="D294" s="87"/>
      <c r="E294" s="6"/>
      <c r="F294" s="87" t="s">
        <v>138</v>
      </c>
      <c r="G294" s="95"/>
      <c r="I294">
        <f>IF(OR(ISNUMBER(SEARCH(Ref!$H288,Ref!$F$2)),ISNUMBER(SEARCH(Ref!$H288,Ref!$F$3)),ISNUMBER(SEARCH(Ref!$H288,Ref!$F$4)),ISNUMBER(SEARCH(Ref!$H288,Ref!$F$5)),ISNUMBER(SEARCH(Ref!$H288,Ref!$F$6)),ISNUMBER(SEARCH(Ref!$H288,Ref!$F$7)),ISNUMBER(SEARCH(Ref!$H288,Ref!$F$8))),"",1)</f>
        <v>1</v>
      </c>
    </row>
    <row r="295" spans="1:9" ht="48" hidden="1" customHeight="1" x14ac:dyDescent="0.25">
      <c r="A295" s="30"/>
      <c r="B295" s="94"/>
      <c r="C295" s="87" t="s">
        <v>129</v>
      </c>
      <c r="D295" s="87"/>
      <c r="E295" s="6"/>
      <c r="F295" s="87" t="s">
        <v>139</v>
      </c>
      <c r="G295" s="95"/>
      <c r="I295">
        <f>IF(OR(ISNUMBER(SEARCH(Ref!$H289,Ref!$F$2)),ISNUMBER(SEARCH(Ref!$H289,Ref!$F$3)),ISNUMBER(SEARCH(Ref!$H289,Ref!$F$4)),ISNUMBER(SEARCH(Ref!$H289,Ref!$F$5)),ISNUMBER(SEARCH(Ref!$H289,Ref!$F$6)),ISNUMBER(SEARCH(Ref!$H289,Ref!$F$7)),ISNUMBER(SEARCH(Ref!$H289,Ref!$F$8))),"",1)</f>
        <v>1</v>
      </c>
    </row>
    <row r="296" spans="1:9" ht="48" hidden="1" customHeight="1" x14ac:dyDescent="0.25">
      <c r="A296" s="30"/>
      <c r="B296" s="94"/>
      <c r="C296" s="87" t="s">
        <v>130</v>
      </c>
      <c r="D296" s="87"/>
      <c r="E296" s="6"/>
      <c r="F296" s="87" t="s">
        <v>131</v>
      </c>
      <c r="G296" s="95"/>
      <c r="I296">
        <f>IF(OR(ISNUMBER(SEARCH(Ref!$H290,Ref!$F$2)),ISNUMBER(SEARCH(Ref!$H290,Ref!$F$3)),ISNUMBER(SEARCH(Ref!$H290,Ref!$F$4)),ISNUMBER(SEARCH(Ref!$H290,Ref!$F$5)),ISNUMBER(SEARCH(Ref!$H290,Ref!$F$6)),ISNUMBER(SEARCH(Ref!$H290,Ref!$F$7)),ISNUMBER(SEARCH(Ref!$H290,Ref!$F$8))),"",1)</f>
        <v>1</v>
      </c>
    </row>
    <row r="297" spans="1:9" ht="48" hidden="1" customHeight="1" x14ac:dyDescent="0.25">
      <c r="A297" s="30"/>
      <c r="B297" s="94"/>
      <c r="C297" s="87" t="s">
        <v>130</v>
      </c>
      <c r="D297" s="87"/>
      <c r="E297" s="6"/>
      <c r="F297" s="87" t="s">
        <v>132</v>
      </c>
      <c r="G297" s="95"/>
      <c r="I297">
        <f>IF(OR(ISNUMBER(SEARCH(Ref!$H291,Ref!$F$2)),ISNUMBER(SEARCH(Ref!$H291,Ref!$F$3)),ISNUMBER(SEARCH(Ref!$H291,Ref!$F$4)),ISNUMBER(SEARCH(Ref!$H291,Ref!$F$5)),ISNUMBER(SEARCH(Ref!$H291,Ref!$F$6)),ISNUMBER(SEARCH(Ref!$H291,Ref!$F$7)),ISNUMBER(SEARCH(Ref!$H291,Ref!$F$8))),"",1)</f>
        <v>1</v>
      </c>
    </row>
    <row r="298" spans="1:9" ht="48" customHeight="1" x14ac:dyDescent="0.25">
      <c r="A298" s="30"/>
      <c r="B298" s="94"/>
      <c r="C298" s="87" t="s">
        <v>130</v>
      </c>
      <c r="D298" s="87"/>
      <c r="E298" s="6"/>
      <c r="F298" s="87" t="s">
        <v>133</v>
      </c>
      <c r="G298" s="95"/>
      <c r="I298" t="str">
        <f>IF(OR(ISNUMBER(SEARCH(Ref!$H292,Ref!$F$2)),ISNUMBER(SEARCH(Ref!$H292,Ref!$F$3)),ISNUMBER(SEARCH(Ref!$H292,Ref!$F$4)),ISNUMBER(SEARCH(Ref!$H292,Ref!$F$5)),ISNUMBER(SEARCH(Ref!$H292,Ref!$F$6)),ISNUMBER(SEARCH(Ref!$H292,Ref!$F$7)),ISNUMBER(SEARCH(Ref!$H292,Ref!$F$8))),"",1)</f>
        <v/>
      </c>
    </row>
    <row r="299" spans="1:9" ht="48" hidden="1" customHeight="1" x14ac:dyDescent="0.25">
      <c r="A299" s="30"/>
      <c r="B299" s="94"/>
      <c r="C299" s="87" t="s">
        <v>130</v>
      </c>
      <c r="D299" s="87"/>
      <c r="E299" s="6"/>
      <c r="F299" s="87" t="s">
        <v>134</v>
      </c>
      <c r="G299" s="95"/>
      <c r="I299">
        <f>IF(OR(ISNUMBER(SEARCH(Ref!$H293,Ref!$F$2)),ISNUMBER(SEARCH(Ref!$H293,Ref!$F$3)),ISNUMBER(SEARCH(Ref!$H293,Ref!$F$4)),ISNUMBER(SEARCH(Ref!$H293,Ref!$F$5)),ISNUMBER(SEARCH(Ref!$H293,Ref!$F$6)),ISNUMBER(SEARCH(Ref!$H293,Ref!$F$7)),ISNUMBER(SEARCH(Ref!$H293,Ref!$F$8))),"",1)</f>
        <v>1</v>
      </c>
    </row>
    <row r="300" spans="1:9" ht="48" hidden="1" customHeight="1" x14ac:dyDescent="0.25">
      <c r="A300" s="30"/>
      <c r="B300" s="94"/>
      <c r="C300" s="87" t="s">
        <v>130</v>
      </c>
      <c r="D300" s="87"/>
      <c r="E300" s="6"/>
      <c r="F300" s="87" t="s">
        <v>135</v>
      </c>
      <c r="G300" s="95"/>
      <c r="I300">
        <f>IF(OR(ISNUMBER(SEARCH(Ref!$H294,Ref!$F$2)),ISNUMBER(SEARCH(Ref!$H294,Ref!$F$3)),ISNUMBER(SEARCH(Ref!$H294,Ref!$F$4)),ISNUMBER(SEARCH(Ref!$H294,Ref!$F$5)),ISNUMBER(SEARCH(Ref!$H294,Ref!$F$6)),ISNUMBER(SEARCH(Ref!$H294,Ref!$F$7)),ISNUMBER(SEARCH(Ref!$H294,Ref!$F$8))),"",1)</f>
        <v>1</v>
      </c>
    </row>
    <row r="301" spans="1:9" ht="48" hidden="1" customHeight="1" x14ac:dyDescent="0.25">
      <c r="A301" s="30"/>
      <c r="B301" s="94"/>
      <c r="C301" s="87" t="s">
        <v>130</v>
      </c>
      <c r="D301" s="87"/>
      <c r="E301" s="6"/>
      <c r="F301" s="87" t="s">
        <v>136</v>
      </c>
      <c r="G301" s="95"/>
      <c r="I301">
        <f>IF(OR(ISNUMBER(SEARCH(Ref!$H295,Ref!$F$2)),ISNUMBER(SEARCH(Ref!$H295,Ref!$F$3)),ISNUMBER(SEARCH(Ref!$H295,Ref!$F$4)),ISNUMBER(SEARCH(Ref!$H295,Ref!$F$5)),ISNUMBER(SEARCH(Ref!$H295,Ref!$F$6)),ISNUMBER(SEARCH(Ref!$H295,Ref!$F$7)),ISNUMBER(SEARCH(Ref!$H295,Ref!$F$8))),"",1)</f>
        <v>1</v>
      </c>
    </row>
    <row r="302" spans="1:9" ht="48" hidden="1" customHeight="1" x14ac:dyDescent="0.25">
      <c r="A302" s="30"/>
      <c r="B302" s="94"/>
      <c r="C302" s="87" t="s">
        <v>130</v>
      </c>
      <c r="D302" s="87"/>
      <c r="E302" s="6"/>
      <c r="F302" s="87" t="s">
        <v>137</v>
      </c>
      <c r="G302" s="95"/>
      <c r="I302">
        <f>IF(OR(ISNUMBER(SEARCH(Ref!$H296,Ref!$F$2)),ISNUMBER(SEARCH(Ref!$H296,Ref!$F$3)),ISNUMBER(SEARCH(Ref!$H296,Ref!$F$4)),ISNUMBER(SEARCH(Ref!$H296,Ref!$F$5)),ISNUMBER(SEARCH(Ref!$H296,Ref!$F$6)),ISNUMBER(SEARCH(Ref!$H296,Ref!$F$7)),ISNUMBER(SEARCH(Ref!$H296,Ref!$F$8))),"",1)</f>
        <v>1</v>
      </c>
    </row>
    <row r="303" spans="1:9" ht="48" hidden="1" customHeight="1" x14ac:dyDescent="0.25">
      <c r="A303" s="30"/>
      <c r="B303" s="94"/>
      <c r="C303" s="87" t="s">
        <v>130</v>
      </c>
      <c r="D303" s="87"/>
      <c r="E303" s="6"/>
      <c r="F303" s="87" t="s">
        <v>138</v>
      </c>
      <c r="G303" s="95"/>
      <c r="I303">
        <f>IF(OR(ISNUMBER(SEARCH(Ref!$H297,Ref!$F$2)),ISNUMBER(SEARCH(Ref!$H297,Ref!$F$3)),ISNUMBER(SEARCH(Ref!$H297,Ref!$F$4)),ISNUMBER(SEARCH(Ref!$H297,Ref!$F$5)),ISNUMBER(SEARCH(Ref!$H297,Ref!$F$6)),ISNUMBER(SEARCH(Ref!$H297,Ref!$F$7)),ISNUMBER(SEARCH(Ref!$H297,Ref!$F$8))),"",1)</f>
        <v>1</v>
      </c>
    </row>
    <row r="304" spans="1:9" ht="48" hidden="1" customHeight="1" x14ac:dyDescent="0.25">
      <c r="A304" s="30"/>
      <c r="B304" s="94"/>
      <c r="C304" s="87" t="s">
        <v>130</v>
      </c>
      <c r="D304" s="87"/>
      <c r="E304" s="6"/>
      <c r="F304" s="87" t="s">
        <v>139</v>
      </c>
      <c r="G304" s="95"/>
      <c r="I304">
        <f>IF(OR(ISNUMBER(SEARCH(Ref!$H298,Ref!$F$2)),ISNUMBER(SEARCH(Ref!$H298,Ref!$F$3)),ISNUMBER(SEARCH(Ref!$H298,Ref!$F$4)),ISNUMBER(SEARCH(Ref!$H298,Ref!$F$5)),ISNUMBER(SEARCH(Ref!$H298,Ref!$F$6)),ISNUMBER(SEARCH(Ref!$H298,Ref!$F$7)),ISNUMBER(SEARCH(Ref!$H298,Ref!$F$8))),"",1)</f>
        <v>1</v>
      </c>
    </row>
    <row r="305" spans="1:9" ht="48" hidden="1" customHeight="1" x14ac:dyDescent="0.25">
      <c r="A305" s="30"/>
      <c r="B305" s="94"/>
      <c r="C305" s="87" t="s">
        <v>131</v>
      </c>
      <c r="D305" s="87"/>
      <c r="E305" s="6"/>
      <c r="F305" s="87" t="s">
        <v>132</v>
      </c>
      <c r="G305" s="95"/>
      <c r="I305">
        <f>IF(OR(ISNUMBER(SEARCH(Ref!$H299,Ref!$F$2)),ISNUMBER(SEARCH(Ref!$H299,Ref!$F$3)),ISNUMBER(SEARCH(Ref!$H299,Ref!$F$4)),ISNUMBER(SEARCH(Ref!$H299,Ref!$F$5)),ISNUMBER(SEARCH(Ref!$H299,Ref!$F$6)),ISNUMBER(SEARCH(Ref!$H299,Ref!$F$7)),ISNUMBER(SEARCH(Ref!$H299,Ref!$F$8))),"",1)</f>
        <v>1</v>
      </c>
    </row>
    <row r="306" spans="1:9" ht="48" hidden="1" customHeight="1" x14ac:dyDescent="0.25">
      <c r="A306" s="30"/>
      <c r="B306" s="94"/>
      <c r="C306" s="87" t="s">
        <v>131</v>
      </c>
      <c r="D306" s="87"/>
      <c r="E306" s="6"/>
      <c r="F306" s="87" t="s">
        <v>133</v>
      </c>
      <c r="G306" s="95"/>
      <c r="I306">
        <f>IF(OR(ISNUMBER(SEARCH(Ref!$H300,Ref!$F$2)),ISNUMBER(SEARCH(Ref!$H300,Ref!$F$3)),ISNUMBER(SEARCH(Ref!$H300,Ref!$F$4)),ISNUMBER(SEARCH(Ref!$H300,Ref!$F$5)),ISNUMBER(SEARCH(Ref!$H300,Ref!$F$6)),ISNUMBER(SEARCH(Ref!$H300,Ref!$F$7)),ISNUMBER(SEARCH(Ref!$H300,Ref!$F$8))),"",1)</f>
        <v>1</v>
      </c>
    </row>
    <row r="307" spans="1:9" ht="48" hidden="1" customHeight="1" x14ac:dyDescent="0.25">
      <c r="A307" s="30"/>
      <c r="B307" s="94"/>
      <c r="C307" s="87" t="s">
        <v>131</v>
      </c>
      <c r="D307" s="87"/>
      <c r="E307" s="6"/>
      <c r="F307" s="87" t="s">
        <v>134</v>
      </c>
      <c r="G307" s="95"/>
      <c r="I307">
        <f>IF(OR(ISNUMBER(SEARCH(Ref!$H301,Ref!$F$2)),ISNUMBER(SEARCH(Ref!$H301,Ref!$F$3)),ISNUMBER(SEARCH(Ref!$H301,Ref!$F$4)),ISNUMBER(SEARCH(Ref!$H301,Ref!$F$5)),ISNUMBER(SEARCH(Ref!$H301,Ref!$F$6)),ISNUMBER(SEARCH(Ref!$H301,Ref!$F$7)),ISNUMBER(SEARCH(Ref!$H301,Ref!$F$8))),"",1)</f>
        <v>1</v>
      </c>
    </row>
    <row r="308" spans="1:9" ht="48" hidden="1" customHeight="1" x14ac:dyDescent="0.25">
      <c r="A308" s="30"/>
      <c r="B308" s="94"/>
      <c r="C308" s="87" t="s">
        <v>131</v>
      </c>
      <c r="D308" s="87"/>
      <c r="E308" s="6"/>
      <c r="F308" s="87" t="s">
        <v>135</v>
      </c>
      <c r="G308" s="95"/>
      <c r="I308">
        <f>IF(OR(ISNUMBER(SEARCH(Ref!$H302,Ref!$F$2)),ISNUMBER(SEARCH(Ref!$H302,Ref!$F$3)),ISNUMBER(SEARCH(Ref!$H302,Ref!$F$4)),ISNUMBER(SEARCH(Ref!$H302,Ref!$F$5)),ISNUMBER(SEARCH(Ref!$H302,Ref!$F$6)),ISNUMBER(SEARCH(Ref!$H302,Ref!$F$7)),ISNUMBER(SEARCH(Ref!$H302,Ref!$F$8))),"",1)</f>
        <v>1</v>
      </c>
    </row>
    <row r="309" spans="1:9" ht="48" hidden="1" customHeight="1" x14ac:dyDescent="0.25">
      <c r="A309" s="30"/>
      <c r="B309" s="94"/>
      <c r="C309" s="87" t="s">
        <v>131</v>
      </c>
      <c r="D309" s="87"/>
      <c r="E309" s="6"/>
      <c r="F309" s="87" t="s">
        <v>136</v>
      </c>
      <c r="G309" s="95"/>
      <c r="I309">
        <f>IF(OR(ISNUMBER(SEARCH(Ref!$H303,Ref!$F$2)),ISNUMBER(SEARCH(Ref!$H303,Ref!$F$3)),ISNUMBER(SEARCH(Ref!$H303,Ref!$F$4)),ISNUMBER(SEARCH(Ref!$H303,Ref!$F$5)),ISNUMBER(SEARCH(Ref!$H303,Ref!$F$6)),ISNUMBER(SEARCH(Ref!$H303,Ref!$F$7)),ISNUMBER(SEARCH(Ref!$H303,Ref!$F$8))),"",1)</f>
        <v>1</v>
      </c>
    </row>
    <row r="310" spans="1:9" ht="48" hidden="1" customHeight="1" x14ac:dyDescent="0.25">
      <c r="A310" s="30"/>
      <c r="B310" s="94"/>
      <c r="C310" s="87" t="s">
        <v>131</v>
      </c>
      <c r="D310" s="87"/>
      <c r="E310" s="6"/>
      <c r="F310" s="87" t="s">
        <v>137</v>
      </c>
      <c r="G310" s="95"/>
      <c r="I310">
        <f>IF(OR(ISNUMBER(SEARCH(Ref!$H304,Ref!$F$2)),ISNUMBER(SEARCH(Ref!$H304,Ref!$F$3)),ISNUMBER(SEARCH(Ref!$H304,Ref!$F$4)),ISNUMBER(SEARCH(Ref!$H304,Ref!$F$5)),ISNUMBER(SEARCH(Ref!$H304,Ref!$F$6)),ISNUMBER(SEARCH(Ref!$H304,Ref!$F$7)),ISNUMBER(SEARCH(Ref!$H304,Ref!$F$8))),"",1)</f>
        <v>1</v>
      </c>
    </row>
    <row r="311" spans="1:9" ht="48" hidden="1" customHeight="1" x14ac:dyDescent="0.25">
      <c r="A311" s="30"/>
      <c r="B311" s="94"/>
      <c r="C311" s="87" t="s">
        <v>131</v>
      </c>
      <c r="D311" s="87"/>
      <c r="E311" s="6"/>
      <c r="F311" s="87" t="s">
        <v>138</v>
      </c>
      <c r="G311" s="95"/>
      <c r="I311">
        <f>IF(OR(ISNUMBER(SEARCH(Ref!$H305,Ref!$F$2)),ISNUMBER(SEARCH(Ref!$H305,Ref!$F$3)),ISNUMBER(SEARCH(Ref!$H305,Ref!$F$4)),ISNUMBER(SEARCH(Ref!$H305,Ref!$F$5)),ISNUMBER(SEARCH(Ref!$H305,Ref!$F$6)),ISNUMBER(SEARCH(Ref!$H305,Ref!$F$7)),ISNUMBER(SEARCH(Ref!$H305,Ref!$F$8))),"",1)</f>
        <v>1</v>
      </c>
    </row>
    <row r="312" spans="1:9" ht="48" hidden="1" customHeight="1" x14ac:dyDescent="0.25">
      <c r="A312" s="30"/>
      <c r="B312" s="94"/>
      <c r="C312" s="87" t="s">
        <v>131</v>
      </c>
      <c r="D312" s="87"/>
      <c r="E312" s="6"/>
      <c r="F312" s="87" t="s">
        <v>139</v>
      </c>
      <c r="G312" s="95"/>
      <c r="I312">
        <f>IF(OR(ISNUMBER(SEARCH(Ref!$H306,Ref!$F$2)),ISNUMBER(SEARCH(Ref!$H306,Ref!$F$3)),ISNUMBER(SEARCH(Ref!$H306,Ref!$F$4)),ISNUMBER(SEARCH(Ref!$H306,Ref!$F$5)),ISNUMBER(SEARCH(Ref!$H306,Ref!$F$6)),ISNUMBER(SEARCH(Ref!$H306,Ref!$F$7)),ISNUMBER(SEARCH(Ref!$H306,Ref!$F$8))),"",1)</f>
        <v>1</v>
      </c>
    </row>
    <row r="313" spans="1:9" ht="48" hidden="1" customHeight="1" x14ac:dyDescent="0.25">
      <c r="A313" s="30"/>
      <c r="B313" s="94"/>
      <c r="C313" s="87" t="s">
        <v>132</v>
      </c>
      <c r="D313" s="87"/>
      <c r="E313" s="6"/>
      <c r="F313" s="87" t="s">
        <v>134</v>
      </c>
      <c r="G313" s="95"/>
      <c r="I313">
        <f>IF(OR(ISNUMBER(SEARCH(Ref!$H307,Ref!$F$2)),ISNUMBER(SEARCH(Ref!$H307,Ref!$F$3)),ISNUMBER(SEARCH(Ref!$H307,Ref!$F$4)),ISNUMBER(SEARCH(Ref!$H307,Ref!$F$5)),ISNUMBER(SEARCH(Ref!$H307,Ref!$F$6)),ISNUMBER(SEARCH(Ref!$H307,Ref!$F$7)),ISNUMBER(SEARCH(Ref!$H307,Ref!$F$8))),"",1)</f>
        <v>1</v>
      </c>
    </row>
    <row r="314" spans="1:9" ht="48" hidden="1" customHeight="1" x14ac:dyDescent="0.25">
      <c r="A314" s="30"/>
      <c r="B314" s="94"/>
      <c r="C314" s="87" t="s">
        <v>132</v>
      </c>
      <c r="D314" s="87"/>
      <c r="E314" s="6"/>
      <c r="F314" s="87" t="s">
        <v>135</v>
      </c>
      <c r="G314" s="95"/>
      <c r="I314">
        <f>IF(OR(ISNUMBER(SEARCH(Ref!$H308,Ref!$F$2)),ISNUMBER(SEARCH(Ref!$H308,Ref!$F$3)),ISNUMBER(SEARCH(Ref!$H308,Ref!$F$4)),ISNUMBER(SEARCH(Ref!$H308,Ref!$F$5)),ISNUMBER(SEARCH(Ref!$H308,Ref!$F$6)),ISNUMBER(SEARCH(Ref!$H308,Ref!$F$7)),ISNUMBER(SEARCH(Ref!$H308,Ref!$F$8))),"",1)</f>
        <v>1</v>
      </c>
    </row>
    <row r="315" spans="1:9" ht="48" hidden="1" customHeight="1" x14ac:dyDescent="0.25">
      <c r="A315" s="30"/>
      <c r="B315" s="94"/>
      <c r="C315" s="87" t="s">
        <v>132</v>
      </c>
      <c r="D315" s="87"/>
      <c r="E315" s="6"/>
      <c r="F315" s="87" t="s">
        <v>136</v>
      </c>
      <c r="G315" s="95"/>
      <c r="I315">
        <f>IF(OR(ISNUMBER(SEARCH(Ref!$H309,Ref!$F$2)),ISNUMBER(SEARCH(Ref!$H309,Ref!$F$3)),ISNUMBER(SEARCH(Ref!$H309,Ref!$F$4)),ISNUMBER(SEARCH(Ref!$H309,Ref!$F$5)),ISNUMBER(SEARCH(Ref!$H309,Ref!$F$6)),ISNUMBER(SEARCH(Ref!$H309,Ref!$F$7)),ISNUMBER(SEARCH(Ref!$H309,Ref!$F$8))),"",1)</f>
        <v>1</v>
      </c>
    </row>
    <row r="316" spans="1:9" ht="48" hidden="1" customHeight="1" x14ac:dyDescent="0.25">
      <c r="A316" s="30"/>
      <c r="B316" s="94"/>
      <c r="C316" s="87" t="s">
        <v>132</v>
      </c>
      <c r="D316" s="87"/>
      <c r="E316" s="6"/>
      <c r="F316" s="87" t="s">
        <v>137</v>
      </c>
      <c r="G316" s="95"/>
      <c r="I316">
        <f>IF(OR(ISNUMBER(SEARCH(Ref!$H310,Ref!$F$2)),ISNUMBER(SEARCH(Ref!$H310,Ref!$F$3)),ISNUMBER(SEARCH(Ref!$H310,Ref!$F$4)),ISNUMBER(SEARCH(Ref!$H310,Ref!$F$5)),ISNUMBER(SEARCH(Ref!$H310,Ref!$F$6)),ISNUMBER(SEARCH(Ref!$H310,Ref!$F$7)),ISNUMBER(SEARCH(Ref!$H310,Ref!$F$8))),"",1)</f>
        <v>1</v>
      </c>
    </row>
    <row r="317" spans="1:9" ht="48" hidden="1" customHeight="1" x14ac:dyDescent="0.25">
      <c r="A317" s="30"/>
      <c r="B317" s="94"/>
      <c r="C317" s="87" t="s">
        <v>132</v>
      </c>
      <c r="D317" s="87"/>
      <c r="E317" s="6"/>
      <c r="F317" s="87" t="s">
        <v>138</v>
      </c>
      <c r="G317" s="95"/>
      <c r="I317">
        <f>IF(OR(ISNUMBER(SEARCH(Ref!$H311,Ref!$F$2)),ISNUMBER(SEARCH(Ref!$H311,Ref!$F$3)),ISNUMBER(SEARCH(Ref!$H311,Ref!$F$4)),ISNUMBER(SEARCH(Ref!$H311,Ref!$F$5)),ISNUMBER(SEARCH(Ref!$H311,Ref!$F$6)),ISNUMBER(SEARCH(Ref!$H311,Ref!$F$7)),ISNUMBER(SEARCH(Ref!$H311,Ref!$F$8))),"",1)</f>
        <v>1</v>
      </c>
    </row>
    <row r="318" spans="1:9" ht="48" hidden="1" customHeight="1" x14ac:dyDescent="0.25">
      <c r="A318" s="30"/>
      <c r="B318" s="94"/>
      <c r="C318" s="87" t="s">
        <v>132</v>
      </c>
      <c r="D318" s="87"/>
      <c r="E318" s="6"/>
      <c r="F318" s="87" t="s">
        <v>139</v>
      </c>
      <c r="G318" s="95"/>
      <c r="I318">
        <f>IF(OR(ISNUMBER(SEARCH(Ref!$H312,Ref!$F$2)),ISNUMBER(SEARCH(Ref!$H312,Ref!$F$3)),ISNUMBER(SEARCH(Ref!$H312,Ref!$F$4)),ISNUMBER(SEARCH(Ref!$H312,Ref!$F$5)),ISNUMBER(SEARCH(Ref!$H312,Ref!$F$6)),ISNUMBER(SEARCH(Ref!$H312,Ref!$F$7)),ISNUMBER(SEARCH(Ref!$H312,Ref!$F$8))),"",1)</f>
        <v>1</v>
      </c>
    </row>
    <row r="319" spans="1:9" ht="48" hidden="1" customHeight="1" x14ac:dyDescent="0.25">
      <c r="A319" s="30"/>
      <c r="B319" s="94"/>
      <c r="C319" s="87" t="s">
        <v>133</v>
      </c>
      <c r="D319" s="87"/>
      <c r="E319" s="6"/>
      <c r="F319" s="87" t="s">
        <v>134</v>
      </c>
      <c r="G319" s="95"/>
      <c r="I319">
        <f>IF(OR(ISNUMBER(SEARCH(Ref!$H313,Ref!$F$2)),ISNUMBER(SEARCH(Ref!$H313,Ref!$F$3)),ISNUMBER(SEARCH(Ref!$H313,Ref!$F$4)),ISNUMBER(SEARCH(Ref!$H313,Ref!$F$5)),ISNUMBER(SEARCH(Ref!$H313,Ref!$F$6)),ISNUMBER(SEARCH(Ref!$H313,Ref!$F$7)),ISNUMBER(SEARCH(Ref!$H313,Ref!$F$8))),"",1)</f>
        <v>1</v>
      </c>
    </row>
    <row r="320" spans="1:9" ht="48" hidden="1" customHeight="1" x14ac:dyDescent="0.25">
      <c r="A320" s="30"/>
      <c r="B320" s="94"/>
      <c r="C320" s="87" t="s">
        <v>133</v>
      </c>
      <c r="D320" s="87"/>
      <c r="E320" s="6"/>
      <c r="F320" s="87" t="s">
        <v>135</v>
      </c>
      <c r="G320" s="95"/>
      <c r="I320">
        <f>IF(OR(ISNUMBER(SEARCH(Ref!$H314,Ref!$F$2)),ISNUMBER(SEARCH(Ref!$H314,Ref!$F$3)),ISNUMBER(SEARCH(Ref!$H314,Ref!$F$4)),ISNUMBER(SEARCH(Ref!$H314,Ref!$F$5)),ISNUMBER(SEARCH(Ref!$H314,Ref!$F$6)),ISNUMBER(SEARCH(Ref!$H314,Ref!$F$7)),ISNUMBER(SEARCH(Ref!$H314,Ref!$F$8))),"",1)</f>
        <v>1</v>
      </c>
    </row>
    <row r="321" spans="1:9" ht="48" hidden="1" customHeight="1" x14ac:dyDescent="0.25">
      <c r="A321" s="30"/>
      <c r="B321" s="94"/>
      <c r="C321" s="87" t="s">
        <v>133</v>
      </c>
      <c r="D321" s="87"/>
      <c r="E321" s="6"/>
      <c r="F321" s="87" t="s">
        <v>136</v>
      </c>
      <c r="G321" s="95"/>
      <c r="I321">
        <f>IF(OR(ISNUMBER(SEARCH(Ref!$H315,Ref!$F$2)),ISNUMBER(SEARCH(Ref!$H315,Ref!$F$3)),ISNUMBER(SEARCH(Ref!$H315,Ref!$F$4)),ISNUMBER(SEARCH(Ref!$H315,Ref!$F$5)),ISNUMBER(SEARCH(Ref!$H315,Ref!$F$6)),ISNUMBER(SEARCH(Ref!$H315,Ref!$F$7)),ISNUMBER(SEARCH(Ref!$H315,Ref!$F$8))),"",1)</f>
        <v>1</v>
      </c>
    </row>
    <row r="322" spans="1:9" ht="48" hidden="1" customHeight="1" x14ac:dyDescent="0.25">
      <c r="A322" s="30"/>
      <c r="B322" s="94"/>
      <c r="C322" s="87" t="s">
        <v>133</v>
      </c>
      <c r="D322" s="87"/>
      <c r="E322" s="6"/>
      <c r="F322" s="87" t="s">
        <v>137</v>
      </c>
      <c r="G322" s="95"/>
      <c r="I322">
        <f>IF(OR(ISNUMBER(SEARCH(Ref!$H316,Ref!$F$2)),ISNUMBER(SEARCH(Ref!$H316,Ref!$F$3)),ISNUMBER(SEARCH(Ref!$H316,Ref!$F$4)),ISNUMBER(SEARCH(Ref!$H316,Ref!$F$5)),ISNUMBER(SEARCH(Ref!$H316,Ref!$F$6)),ISNUMBER(SEARCH(Ref!$H316,Ref!$F$7)),ISNUMBER(SEARCH(Ref!$H316,Ref!$F$8))),"",1)</f>
        <v>1</v>
      </c>
    </row>
    <row r="323" spans="1:9" ht="48" hidden="1" customHeight="1" x14ac:dyDescent="0.25">
      <c r="A323" s="30"/>
      <c r="B323" s="94"/>
      <c r="C323" s="87" t="s">
        <v>133</v>
      </c>
      <c r="D323" s="87"/>
      <c r="E323" s="6"/>
      <c r="F323" s="87" t="s">
        <v>138</v>
      </c>
      <c r="G323" s="95"/>
      <c r="I323">
        <f>IF(OR(ISNUMBER(SEARCH(Ref!$H317,Ref!$F$2)),ISNUMBER(SEARCH(Ref!$H317,Ref!$F$3)),ISNUMBER(SEARCH(Ref!$H317,Ref!$F$4)),ISNUMBER(SEARCH(Ref!$H317,Ref!$F$5)),ISNUMBER(SEARCH(Ref!$H317,Ref!$F$6)),ISNUMBER(SEARCH(Ref!$H317,Ref!$F$7)),ISNUMBER(SEARCH(Ref!$H317,Ref!$F$8))),"",1)</f>
        <v>1</v>
      </c>
    </row>
    <row r="324" spans="1:9" ht="48" hidden="1" customHeight="1" x14ac:dyDescent="0.25">
      <c r="A324" s="30"/>
      <c r="B324" s="94"/>
      <c r="C324" s="87" t="s">
        <v>133</v>
      </c>
      <c r="D324" s="87"/>
      <c r="E324" s="6"/>
      <c r="F324" s="87" t="s">
        <v>139</v>
      </c>
      <c r="G324" s="95"/>
      <c r="I324">
        <f>IF(OR(ISNUMBER(SEARCH(Ref!$H318,Ref!$F$2)),ISNUMBER(SEARCH(Ref!$H318,Ref!$F$3)),ISNUMBER(SEARCH(Ref!$H318,Ref!$F$4)),ISNUMBER(SEARCH(Ref!$H318,Ref!$F$5)),ISNUMBER(SEARCH(Ref!$H318,Ref!$F$6)),ISNUMBER(SEARCH(Ref!$H318,Ref!$F$7)),ISNUMBER(SEARCH(Ref!$H318,Ref!$F$8))),"",1)</f>
        <v>1</v>
      </c>
    </row>
    <row r="325" spans="1:9" ht="48" hidden="1" customHeight="1" x14ac:dyDescent="0.25">
      <c r="A325" s="30"/>
      <c r="B325" s="94"/>
      <c r="C325" s="87" t="s">
        <v>134</v>
      </c>
      <c r="D325" s="87"/>
      <c r="E325" s="6"/>
      <c r="F325" s="87" t="s">
        <v>135</v>
      </c>
      <c r="G325" s="95"/>
      <c r="I325">
        <f>IF(OR(ISNUMBER(SEARCH(Ref!$H319,Ref!$F$2)),ISNUMBER(SEARCH(Ref!$H319,Ref!$F$3)),ISNUMBER(SEARCH(Ref!$H319,Ref!$F$4)),ISNUMBER(SEARCH(Ref!$H319,Ref!$F$5)),ISNUMBER(SEARCH(Ref!$H319,Ref!$F$6)),ISNUMBER(SEARCH(Ref!$H319,Ref!$F$7)),ISNUMBER(SEARCH(Ref!$H319,Ref!$F$8))),"",1)</f>
        <v>1</v>
      </c>
    </row>
    <row r="326" spans="1:9" ht="48" hidden="1" customHeight="1" x14ac:dyDescent="0.25">
      <c r="A326" s="30"/>
      <c r="B326" s="94"/>
      <c r="C326" s="87" t="s">
        <v>134</v>
      </c>
      <c r="D326" s="87"/>
      <c r="E326" s="6"/>
      <c r="F326" s="87" t="s">
        <v>136</v>
      </c>
      <c r="G326" s="95"/>
      <c r="I326">
        <f>IF(OR(ISNUMBER(SEARCH(Ref!$H320,Ref!$F$2)),ISNUMBER(SEARCH(Ref!$H320,Ref!$F$3)),ISNUMBER(SEARCH(Ref!$H320,Ref!$F$4)),ISNUMBER(SEARCH(Ref!$H320,Ref!$F$5)),ISNUMBER(SEARCH(Ref!$H320,Ref!$F$6)),ISNUMBER(SEARCH(Ref!$H320,Ref!$F$7)),ISNUMBER(SEARCH(Ref!$H320,Ref!$F$8))),"",1)</f>
        <v>1</v>
      </c>
    </row>
    <row r="327" spans="1:9" ht="48" hidden="1" customHeight="1" x14ac:dyDescent="0.25">
      <c r="A327" s="30"/>
      <c r="B327" s="94"/>
      <c r="C327" s="87" t="s">
        <v>134</v>
      </c>
      <c r="D327" s="87"/>
      <c r="E327" s="6"/>
      <c r="F327" s="87" t="s">
        <v>137</v>
      </c>
      <c r="G327" s="95"/>
      <c r="I327">
        <f>IF(OR(ISNUMBER(SEARCH(Ref!$H321,Ref!$F$2)),ISNUMBER(SEARCH(Ref!$H321,Ref!$F$3)),ISNUMBER(SEARCH(Ref!$H321,Ref!$F$4)),ISNUMBER(SEARCH(Ref!$H321,Ref!$F$5)),ISNUMBER(SEARCH(Ref!$H321,Ref!$F$6)),ISNUMBER(SEARCH(Ref!$H321,Ref!$F$7)),ISNUMBER(SEARCH(Ref!$H321,Ref!$F$8))),"",1)</f>
        <v>1</v>
      </c>
    </row>
    <row r="328" spans="1:9" ht="48" hidden="1" customHeight="1" x14ac:dyDescent="0.25">
      <c r="A328" s="30"/>
      <c r="B328" s="94"/>
      <c r="C328" s="87" t="s">
        <v>134</v>
      </c>
      <c r="D328" s="87"/>
      <c r="E328" s="6"/>
      <c r="F328" s="87" t="s">
        <v>138</v>
      </c>
      <c r="G328" s="95"/>
      <c r="I328">
        <f>IF(OR(ISNUMBER(SEARCH(Ref!$H322,Ref!$F$2)),ISNUMBER(SEARCH(Ref!$H322,Ref!$F$3)),ISNUMBER(SEARCH(Ref!$H322,Ref!$F$4)),ISNUMBER(SEARCH(Ref!$H322,Ref!$F$5)),ISNUMBER(SEARCH(Ref!$H322,Ref!$F$6)),ISNUMBER(SEARCH(Ref!$H322,Ref!$F$7)),ISNUMBER(SEARCH(Ref!$H322,Ref!$F$8))),"",1)</f>
        <v>1</v>
      </c>
    </row>
    <row r="329" spans="1:9" ht="48" hidden="1" customHeight="1" x14ac:dyDescent="0.25">
      <c r="A329" s="30"/>
      <c r="B329" s="94"/>
      <c r="C329" s="87" t="s">
        <v>134</v>
      </c>
      <c r="D329" s="87"/>
      <c r="E329" s="6"/>
      <c r="F329" s="87" t="s">
        <v>139</v>
      </c>
      <c r="G329" s="95"/>
      <c r="I329">
        <f>IF(OR(ISNUMBER(SEARCH(Ref!$H323,Ref!$F$2)),ISNUMBER(SEARCH(Ref!$H323,Ref!$F$3)),ISNUMBER(SEARCH(Ref!$H323,Ref!$F$4)),ISNUMBER(SEARCH(Ref!$H323,Ref!$F$5)),ISNUMBER(SEARCH(Ref!$H323,Ref!$F$6)),ISNUMBER(SEARCH(Ref!$H323,Ref!$F$7)),ISNUMBER(SEARCH(Ref!$H323,Ref!$F$8))),"",1)</f>
        <v>1</v>
      </c>
    </row>
    <row r="330" spans="1:9" ht="48" hidden="1" customHeight="1" x14ac:dyDescent="0.25">
      <c r="A330" s="30"/>
      <c r="B330" s="94"/>
      <c r="C330" s="87" t="s">
        <v>135</v>
      </c>
      <c r="D330" s="87"/>
      <c r="E330" s="6"/>
      <c r="F330" s="87" t="s">
        <v>136</v>
      </c>
      <c r="G330" s="95"/>
      <c r="I330">
        <f>IF(OR(ISNUMBER(SEARCH(Ref!$H324,Ref!$F$2)),ISNUMBER(SEARCH(Ref!$H324,Ref!$F$3)),ISNUMBER(SEARCH(Ref!$H324,Ref!$F$4)),ISNUMBER(SEARCH(Ref!$H324,Ref!$F$5)),ISNUMBER(SEARCH(Ref!$H324,Ref!$F$6)),ISNUMBER(SEARCH(Ref!$H324,Ref!$F$7)),ISNUMBER(SEARCH(Ref!$H324,Ref!$F$8))),"",1)</f>
        <v>1</v>
      </c>
    </row>
    <row r="331" spans="1:9" ht="48" hidden="1" customHeight="1" x14ac:dyDescent="0.25">
      <c r="A331" s="30"/>
      <c r="B331" s="94"/>
      <c r="C331" s="87" t="s">
        <v>135</v>
      </c>
      <c r="D331" s="87"/>
      <c r="E331" s="6"/>
      <c r="F331" s="87" t="s">
        <v>137</v>
      </c>
      <c r="G331" s="95"/>
      <c r="I331">
        <f>IF(OR(ISNUMBER(SEARCH(Ref!$H325,Ref!$F$2)),ISNUMBER(SEARCH(Ref!$H325,Ref!$F$3)),ISNUMBER(SEARCH(Ref!$H325,Ref!$F$4)),ISNUMBER(SEARCH(Ref!$H325,Ref!$F$5)),ISNUMBER(SEARCH(Ref!$H325,Ref!$F$6)),ISNUMBER(SEARCH(Ref!$H325,Ref!$F$7)),ISNUMBER(SEARCH(Ref!$H325,Ref!$F$8))),"",1)</f>
        <v>1</v>
      </c>
    </row>
    <row r="332" spans="1:9" ht="48" hidden="1" customHeight="1" x14ac:dyDescent="0.25">
      <c r="A332" s="30"/>
      <c r="B332" s="94"/>
      <c r="C332" s="87" t="s">
        <v>135</v>
      </c>
      <c r="D332" s="87"/>
      <c r="E332" s="6"/>
      <c r="F332" s="87" t="s">
        <v>138</v>
      </c>
      <c r="G332" s="95"/>
      <c r="I332">
        <f>IF(OR(ISNUMBER(SEARCH(Ref!$H326,Ref!$F$2)),ISNUMBER(SEARCH(Ref!$H326,Ref!$F$3)),ISNUMBER(SEARCH(Ref!$H326,Ref!$F$4)),ISNUMBER(SEARCH(Ref!$H326,Ref!$F$5)),ISNUMBER(SEARCH(Ref!$H326,Ref!$F$6)),ISNUMBER(SEARCH(Ref!$H326,Ref!$F$7)),ISNUMBER(SEARCH(Ref!$H326,Ref!$F$8))),"",1)</f>
        <v>1</v>
      </c>
    </row>
    <row r="333" spans="1:9" ht="48" hidden="1" customHeight="1" x14ac:dyDescent="0.25">
      <c r="A333" s="30"/>
      <c r="B333" s="94"/>
      <c r="C333" s="87" t="s">
        <v>135</v>
      </c>
      <c r="D333" s="87"/>
      <c r="E333" s="6"/>
      <c r="F333" s="87" t="s">
        <v>139</v>
      </c>
      <c r="G333" s="95"/>
      <c r="I333">
        <f>IF(OR(ISNUMBER(SEARCH(Ref!$H327,Ref!$F$2)),ISNUMBER(SEARCH(Ref!$H327,Ref!$F$3)),ISNUMBER(SEARCH(Ref!$H327,Ref!$F$4)),ISNUMBER(SEARCH(Ref!$H327,Ref!$F$5)),ISNUMBER(SEARCH(Ref!$H327,Ref!$F$6)),ISNUMBER(SEARCH(Ref!$H327,Ref!$F$7)),ISNUMBER(SEARCH(Ref!$H327,Ref!$F$8))),"",1)</f>
        <v>1</v>
      </c>
    </row>
    <row r="334" spans="1:9" ht="48" hidden="1" customHeight="1" x14ac:dyDescent="0.25">
      <c r="A334" s="30"/>
      <c r="B334" s="94"/>
      <c r="C334" s="87" t="s">
        <v>136</v>
      </c>
      <c r="D334" s="87"/>
      <c r="E334" s="6"/>
      <c r="F334" s="87" t="s">
        <v>137</v>
      </c>
      <c r="G334" s="95"/>
      <c r="I334">
        <f>IF(OR(ISNUMBER(SEARCH(Ref!$H328,Ref!$F$2)),ISNUMBER(SEARCH(Ref!$H328,Ref!$F$3)),ISNUMBER(SEARCH(Ref!$H328,Ref!$F$4)),ISNUMBER(SEARCH(Ref!$H328,Ref!$F$5)),ISNUMBER(SEARCH(Ref!$H328,Ref!$F$6)),ISNUMBER(SEARCH(Ref!$H328,Ref!$F$7)),ISNUMBER(SEARCH(Ref!$H328,Ref!$F$8))),"",1)</f>
        <v>1</v>
      </c>
    </row>
    <row r="335" spans="1:9" ht="48" hidden="1" customHeight="1" x14ac:dyDescent="0.25">
      <c r="A335" s="30"/>
      <c r="B335" s="94"/>
      <c r="C335" s="87" t="s">
        <v>136</v>
      </c>
      <c r="D335" s="87"/>
      <c r="E335" s="6"/>
      <c r="F335" s="87" t="s">
        <v>138</v>
      </c>
      <c r="G335" s="95"/>
      <c r="I335">
        <f>IF(OR(ISNUMBER(SEARCH(Ref!$H329,Ref!$F$2)),ISNUMBER(SEARCH(Ref!$H329,Ref!$F$3)),ISNUMBER(SEARCH(Ref!$H329,Ref!$F$4)),ISNUMBER(SEARCH(Ref!$H329,Ref!$F$5)),ISNUMBER(SEARCH(Ref!$H329,Ref!$F$6)),ISNUMBER(SEARCH(Ref!$H329,Ref!$F$7)),ISNUMBER(SEARCH(Ref!$H329,Ref!$F$8))),"",1)</f>
        <v>1</v>
      </c>
    </row>
    <row r="336" spans="1:9" ht="48" hidden="1" customHeight="1" x14ac:dyDescent="0.25">
      <c r="A336" s="30"/>
      <c r="B336" s="94"/>
      <c r="C336" s="87" t="s">
        <v>136</v>
      </c>
      <c r="D336" s="87"/>
      <c r="E336" s="6"/>
      <c r="F336" s="87" t="s">
        <v>139</v>
      </c>
      <c r="G336" s="95"/>
      <c r="I336">
        <f>IF(OR(ISNUMBER(SEARCH(Ref!$H330,Ref!$F$2)),ISNUMBER(SEARCH(Ref!$H330,Ref!$F$3)),ISNUMBER(SEARCH(Ref!$H330,Ref!$F$4)),ISNUMBER(SEARCH(Ref!$H330,Ref!$F$5)),ISNUMBER(SEARCH(Ref!$H330,Ref!$F$6)),ISNUMBER(SEARCH(Ref!$H330,Ref!$F$7)),ISNUMBER(SEARCH(Ref!$H330,Ref!$F$8))),"",1)</f>
        <v>1</v>
      </c>
    </row>
    <row r="337" spans="1:9" ht="48" hidden="1" customHeight="1" x14ac:dyDescent="0.25">
      <c r="A337" s="30"/>
      <c r="B337" s="94"/>
      <c r="C337" s="87" t="s">
        <v>137</v>
      </c>
      <c r="D337" s="87"/>
      <c r="E337" s="6"/>
      <c r="F337" s="87" t="s">
        <v>138</v>
      </c>
      <c r="G337" s="95"/>
      <c r="I337">
        <f>IF(OR(ISNUMBER(SEARCH(Ref!$H331,Ref!$F$2)),ISNUMBER(SEARCH(Ref!$H331,Ref!$F$3)),ISNUMBER(SEARCH(Ref!$H331,Ref!$F$4)),ISNUMBER(SEARCH(Ref!$H331,Ref!$F$5)),ISNUMBER(SEARCH(Ref!$H331,Ref!$F$6)),ISNUMBER(SEARCH(Ref!$H331,Ref!$F$7)),ISNUMBER(SEARCH(Ref!$H331,Ref!$F$8))),"",1)</f>
        <v>1</v>
      </c>
    </row>
    <row r="338" spans="1:9" ht="48" hidden="1" customHeight="1" x14ac:dyDescent="0.25">
      <c r="A338" s="30"/>
      <c r="B338" s="94"/>
      <c r="C338" s="87" t="s">
        <v>137</v>
      </c>
      <c r="D338" s="87"/>
      <c r="E338" s="6"/>
      <c r="F338" s="87" t="s">
        <v>139</v>
      </c>
      <c r="G338" s="95"/>
      <c r="I338">
        <f>IF(OR(ISNUMBER(SEARCH(Ref!$H332,Ref!$F$2)),ISNUMBER(SEARCH(Ref!$H332,Ref!$F$3)),ISNUMBER(SEARCH(Ref!$H332,Ref!$F$4)),ISNUMBER(SEARCH(Ref!$H332,Ref!$F$5)),ISNUMBER(SEARCH(Ref!$H332,Ref!$F$6)),ISNUMBER(SEARCH(Ref!$H332,Ref!$F$7)),ISNUMBER(SEARCH(Ref!$H332,Ref!$F$8))),"",1)</f>
        <v>1</v>
      </c>
    </row>
    <row r="339" spans="1:9" ht="48" hidden="1" customHeight="1" x14ac:dyDescent="0.25">
      <c r="A339" s="30"/>
      <c r="B339" s="94"/>
      <c r="C339" s="87" t="s">
        <v>138</v>
      </c>
      <c r="D339" s="87"/>
      <c r="E339" s="6"/>
      <c r="F339" s="87" t="s">
        <v>139</v>
      </c>
      <c r="G339" s="95"/>
      <c r="I339">
        <f>IF(OR(ISNUMBER(SEARCH(Ref!$H333,Ref!$F$2)),ISNUMBER(SEARCH(Ref!$H333,Ref!$F$3)),ISNUMBER(SEARCH(Ref!$H333,Ref!$F$4)),ISNUMBER(SEARCH(Ref!$H333,Ref!$F$5)),ISNUMBER(SEARCH(Ref!$H333,Ref!$F$6)),ISNUMBER(SEARCH(Ref!$H333,Ref!$F$7)),ISNUMBER(SEARCH(Ref!$H333,Ref!$F$8))),"",1)</f>
        <v>1</v>
      </c>
    </row>
    <row r="340" spans="1:9" ht="48" hidden="1" customHeight="1" x14ac:dyDescent="0.25">
      <c r="A340" s="30"/>
      <c r="B340" s="94"/>
      <c r="C340" s="87" t="s">
        <v>117</v>
      </c>
      <c r="D340" s="87"/>
      <c r="E340" s="6"/>
      <c r="F340" s="6"/>
      <c r="G340" s="115"/>
      <c r="I340">
        <f>IF(OR(ISNUMBER(SEARCH(Ref!$H2,Ref!$F$2)),ISNUMBER(SEARCH(Ref!$H2,Ref!$F$3)),ISNUMBER(SEARCH(Ref!$H2,Ref!$F$4)),ISNUMBER(SEARCH(Ref!$H2,Ref!$F$5)),ISNUMBER(SEARCH(Ref!$H2,Ref!$F$6)),ISNUMBER(SEARCH(Ref!$H2,Ref!$F$7)),ISNUMBER(SEARCH(Ref!$H2,Ref!$F$8))),"",1)</f>
        <v>1</v>
      </c>
    </row>
    <row r="341" spans="1:9" ht="48" hidden="1" customHeight="1" x14ac:dyDescent="0.25">
      <c r="A341" s="30"/>
      <c r="B341" s="94"/>
      <c r="C341" s="87" t="s">
        <v>94</v>
      </c>
      <c r="D341" s="87"/>
      <c r="E341" s="6"/>
      <c r="F341" s="6"/>
      <c r="G341" s="115"/>
      <c r="I341">
        <f>IF(OR(ISNUMBER(SEARCH(Ref!$H3,Ref!$F$2)),ISNUMBER(SEARCH(Ref!$H3,Ref!$F$3)),ISNUMBER(SEARCH(Ref!$H3,Ref!$F$4)),ISNUMBER(SEARCH(Ref!$H3,Ref!$F$5)),ISNUMBER(SEARCH(Ref!$H3,Ref!$F$6)),ISNUMBER(SEARCH(Ref!$H3,Ref!$F$7)),ISNUMBER(SEARCH(Ref!$H3,Ref!$F$8))),"",1)</f>
        <v>1</v>
      </c>
    </row>
    <row r="342" spans="1:9" ht="48" hidden="1" customHeight="1" x14ac:dyDescent="0.25">
      <c r="A342" s="30"/>
      <c r="B342" s="94"/>
      <c r="C342" s="87" t="s">
        <v>118</v>
      </c>
      <c r="D342" s="87"/>
      <c r="E342" s="6"/>
      <c r="F342" s="6"/>
      <c r="G342" s="115"/>
      <c r="I342">
        <f>IF(OR(ISNUMBER(SEARCH(Ref!$H4,Ref!$F$2)),ISNUMBER(SEARCH(Ref!$H4,Ref!$F$3)),ISNUMBER(SEARCH(Ref!$H4,Ref!$F$4)),ISNUMBER(SEARCH(Ref!$H4,Ref!$F$5)),ISNUMBER(SEARCH(Ref!$H4,Ref!$F$6)),ISNUMBER(SEARCH(Ref!$H4,Ref!$F$7)),ISNUMBER(SEARCH(Ref!$H4,Ref!$F$8))),"",1)</f>
        <v>1</v>
      </c>
    </row>
    <row r="343" spans="1:9" ht="48" hidden="1" customHeight="1" x14ac:dyDescent="0.25">
      <c r="A343" s="30"/>
      <c r="B343" s="94"/>
      <c r="C343" s="87" t="s">
        <v>119</v>
      </c>
      <c r="D343" s="87"/>
      <c r="E343" s="6"/>
      <c r="F343" s="6"/>
      <c r="G343" s="115"/>
      <c r="I343">
        <f>IF(OR(ISNUMBER(SEARCH(Ref!$H5,Ref!$F$2)),ISNUMBER(SEARCH(Ref!$H5,Ref!$F$3)),ISNUMBER(SEARCH(Ref!$H5,Ref!$F$4)),ISNUMBER(SEARCH(Ref!$H5,Ref!$F$5)),ISNUMBER(SEARCH(Ref!$H5,Ref!$F$6)),ISNUMBER(SEARCH(Ref!$H5,Ref!$F$7)),ISNUMBER(SEARCH(Ref!$H5,Ref!$F$8))),"",1)</f>
        <v>1</v>
      </c>
    </row>
    <row r="344" spans="1:9" ht="48" hidden="1" customHeight="1" x14ac:dyDescent="0.25">
      <c r="A344" s="30"/>
      <c r="B344" s="94"/>
      <c r="C344" s="87" t="s">
        <v>120</v>
      </c>
      <c r="D344" s="87"/>
      <c r="E344" s="6"/>
      <c r="F344" s="6"/>
      <c r="G344" s="115"/>
      <c r="I344">
        <f>IF(OR(ISNUMBER(SEARCH(Ref!$H6,Ref!$F$2)),ISNUMBER(SEARCH(Ref!$H6,Ref!$F$3)),ISNUMBER(SEARCH(Ref!$H6,Ref!$F$4)),ISNUMBER(SEARCH(Ref!$H6,Ref!$F$5)),ISNUMBER(SEARCH(Ref!$H6,Ref!$F$6)),ISNUMBER(SEARCH(Ref!$H6,Ref!$F$7)),ISNUMBER(SEARCH(Ref!$H6,Ref!$F$8))),"",1)</f>
        <v>1</v>
      </c>
    </row>
    <row r="345" spans="1:9" ht="48" hidden="1" customHeight="1" x14ac:dyDescent="0.25">
      <c r="A345" s="30"/>
      <c r="B345" s="94"/>
      <c r="C345" s="87" t="s">
        <v>121</v>
      </c>
      <c r="D345" s="87"/>
      <c r="E345" s="6"/>
      <c r="F345" s="6"/>
      <c r="G345" s="115"/>
      <c r="I345">
        <f>IF(OR(ISNUMBER(SEARCH(Ref!$H7,Ref!$F$2)),ISNUMBER(SEARCH(Ref!$H7,Ref!$F$3)),ISNUMBER(SEARCH(Ref!$H7,Ref!$F$4)),ISNUMBER(SEARCH(Ref!$H7,Ref!$F$5)),ISNUMBER(SEARCH(Ref!$H7,Ref!$F$6)),ISNUMBER(SEARCH(Ref!$H7,Ref!$F$7)),ISNUMBER(SEARCH(Ref!$H7,Ref!$F$8))),"",1)</f>
        <v>1</v>
      </c>
    </row>
    <row r="346" spans="1:9" ht="48" hidden="1" customHeight="1" x14ac:dyDescent="0.25">
      <c r="A346" s="30"/>
      <c r="B346" s="94"/>
      <c r="C346" s="87" t="s">
        <v>88</v>
      </c>
      <c r="D346" s="87"/>
      <c r="E346" s="6"/>
      <c r="F346" s="6"/>
      <c r="G346" s="115"/>
      <c r="I346">
        <f>IF(OR(ISNUMBER(SEARCH(Ref!$H8,Ref!$F$2)),ISNUMBER(SEARCH(Ref!$H8,Ref!$F$3)),ISNUMBER(SEARCH(Ref!$H8,Ref!$F$4)),ISNUMBER(SEARCH(Ref!$H8,Ref!$F$5)),ISNUMBER(SEARCH(Ref!$H8,Ref!$F$6)),ISNUMBER(SEARCH(Ref!$H8,Ref!$F$7)),ISNUMBER(SEARCH(Ref!$H8,Ref!$F$8))),"",1)</f>
        <v>1</v>
      </c>
    </row>
    <row r="347" spans="1:9" ht="48" hidden="1" customHeight="1" x14ac:dyDescent="0.25">
      <c r="A347" s="30"/>
      <c r="B347" s="94"/>
      <c r="C347" s="87" t="s">
        <v>122</v>
      </c>
      <c r="D347" s="87"/>
      <c r="E347" s="6"/>
      <c r="F347" s="6"/>
      <c r="G347" s="115"/>
      <c r="I347">
        <f>IF(OR(ISNUMBER(SEARCH(Ref!$H9,Ref!$F$2)),ISNUMBER(SEARCH(Ref!$H9,Ref!$F$3)),ISNUMBER(SEARCH(Ref!$H9,Ref!$F$4)),ISNUMBER(SEARCH(Ref!$H9,Ref!$F$5)),ISNUMBER(SEARCH(Ref!$H9,Ref!$F$6)),ISNUMBER(SEARCH(Ref!$H9,Ref!$F$7)),ISNUMBER(SEARCH(Ref!$H9,Ref!$F$8))),"",1)</f>
        <v>1</v>
      </c>
    </row>
    <row r="348" spans="1:9" ht="48" hidden="1" customHeight="1" x14ac:dyDescent="0.25">
      <c r="A348" s="30"/>
      <c r="B348" s="94"/>
      <c r="C348" s="87" t="s">
        <v>123</v>
      </c>
      <c r="D348" s="87"/>
      <c r="E348" s="6"/>
      <c r="F348" s="6"/>
      <c r="G348" s="115"/>
      <c r="I348">
        <f>IF(OR(ISNUMBER(SEARCH(Ref!$H10,Ref!$F$2)),ISNUMBER(SEARCH(Ref!$H10,Ref!$F$3)),ISNUMBER(SEARCH(Ref!$H10,Ref!$F$4)),ISNUMBER(SEARCH(Ref!$H10,Ref!$F$5)),ISNUMBER(SEARCH(Ref!$H10,Ref!$F$6)),ISNUMBER(SEARCH(Ref!$H10,Ref!$F$7)),ISNUMBER(SEARCH(Ref!$H10,Ref!$F$8))),"",1)</f>
        <v>1</v>
      </c>
    </row>
    <row r="349" spans="1:9" ht="48" hidden="1" customHeight="1" x14ac:dyDescent="0.25">
      <c r="A349" s="30"/>
      <c r="B349" s="94"/>
      <c r="C349" s="87" t="s">
        <v>124</v>
      </c>
      <c r="D349" s="87"/>
      <c r="E349" s="6"/>
      <c r="F349" s="6"/>
      <c r="G349" s="115"/>
      <c r="I349">
        <f>IF(OR(ISNUMBER(SEARCH(Ref!$H11,Ref!$F$2)),ISNUMBER(SEARCH(Ref!$H11,Ref!$F$3)),ISNUMBER(SEARCH(Ref!$H11,Ref!$F$4)),ISNUMBER(SEARCH(Ref!$H11,Ref!$F$5)),ISNUMBER(SEARCH(Ref!$H11,Ref!$F$6)),ISNUMBER(SEARCH(Ref!$H11,Ref!$F$7)),ISNUMBER(SEARCH(Ref!$H11,Ref!$F$8))),"",1)</f>
        <v>1</v>
      </c>
    </row>
    <row r="350" spans="1:9" ht="48" hidden="1" customHeight="1" x14ac:dyDescent="0.25">
      <c r="A350" s="30"/>
      <c r="B350" s="94"/>
      <c r="C350" s="87" t="s">
        <v>95</v>
      </c>
      <c r="D350" s="87"/>
      <c r="E350" s="6"/>
      <c r="F350" s="6"/>
      <c r="G350" s="115"/>
      <c r="I350">
        <f>IF(OR(ISNUMBER(SEARCH(Ref!$H12,Ref!$F$2)),ISNUMBER(SEARCH(Ref!$H12,Ref!$F$3)),ISNUMBER(SEARCH(Ref!$H12,Ref!$F$4)),ISNUMBER(SEARCH(Ref!$H12,Ref!$F$5)),ISNUMBER(SEARCH(Ref!$H12,Ref!$F$6)),ISNUMBER(SEARCH(Ref!$H12,Ref!$F$7)),ISNUMBER(SEARCH(Ref!$H12,Ref!$F$8))),"",1)</f>
        <v>1</v>
      </c>
    </row>
    <row r="351" spans="1:9" ht="48" hidden="1" customHeight="1" x14ac:dyDescent="0.25">
      <c r="A351" s="30"/>
      <c r="B351" s="94"/>
      <c r="C351" s="87" t="s">
        <v>125</v>
      </c>
      <c r="D351" s="87"/>
      <c r="E351" s="6"/>
      <c r="F351" s="6"/>
      <c r="G351" s="115"/>
      <c r="I351">
        <f>IF(OR(ISNUMBER(SEARCH(Ref!$H13,Ref!$F$2)),ISNUMBER(SEARCH(Ref!$H13,Ref!$F$3)),ISNUMBER(SEARCH(Ref!$H13,Ref!$F$4)),ISNUMBER(SEARCH(Ref!$H13,Ref!$F$5)),ISNUMBER(SEARCH(Ref!$H13,Ref!$F$6)),ISNUMBER(SEARCH(Ref!$H13,Ref!$F$7)),ISNUMBER(SEARCH(Ref!$H13,Ref!$F$8))),"",1)</f>
        <v>1</v>
      </c>
    </row>
    <row r="352" spans="1:9" ht="48" hidden="1" customHeight="1" x14ac:dyDescent="0.25">
      <c r="A352" s="30"/>
      <c r="B352" s="94"/>
      <c r="C352" s="87" t="s">
        <v>126</v>
      </c>
      <c r="D352" s="87"/>
      <c r="E352" s="6"/>
      <c r="F352" s="6"/>
      <c r="G352" s="115"/>
      <c r="I352">
        <f>IF(OR(ISNUMBER(SEARCH(Ref!$H14,Ref!$F$2)),ISNUMBER(SEARCH(Ref!$H14,Ref!$F$3)),ISNUMBER(SEARCH(Ref!$H14,Ref!$F$4)),ISNUMBER(SEARCH(Ref!$H14,Ref!$F$5)),ISNUMBER(SEARCH(Ref!$H14,Ref!$F$6)),ISNUMBER(SEARCH(Ref!$H14,Ref!$F$7)),ISNUMBER(SEARCH(Ref!$H14,Ref!$F$8))),"",1)</f>
        <v>1</v>
      </c>
    </row>
    <row r="353" spans="1:9" ht="48" hidden="1" customHeight="1" x14ac:dyDescent="0.25">
      <c r="A353" s="30"/>
      <c r="B353" s="94"/>
      <c r="C353" s="87" t="s">
        <v>127</v>
      </c>
      <c r="D353" s="87"/>
      <c r="E353" s="6"/>
      <c r="F353" s="6"/>
      <c r="G353" s="115"/>
      <c r="I353">
        <f>IF(OR(ISNUMBER(SEARCH(Ref!$H15,Ref!$F$2)),ISNUMBER(SEARCH(Ref!$H15,Ref!$F$3)),ISNUMBER(SEARCH(Ref!$H15,Ref!$F$4)),ISNUMBER(SEARCH(Ref!$H15,Ref!$F$5)),ISNUMBER(SEARCH(Ref!$H15,Ref!$F$6)),ISNUMBER(SEARCH(Ref!$H15,Ref!$F$7)),ISNUMBER(SEARCH(Ref!$H15,Ref!$F$8))),"",1)</f>
        <v>1</v>
      </c>
    </row>
    <row r="354" spans="1:9" ht="48" hidden="1" customHeight="1" x14ac:dyDescent="0.25">
      <c r="A354" s="30"/>
      <c r="B354" s="94"/>
      <c r="C354" s="87" t="s">
        <v>128</v>
      </c>
      <c r="D354" s="87"/>
      <c r="E354" s="6"/>
      <c r="F354" s="6"/>
      <c r="G354" s="115"/>
      <c r="I354">
        <f>IF(OR(ISNUMBER(SEARCH(Ref!$H16,Ref!$F$2)),ISNUMBER(SEARCH(Ref!$H16,Ref!$F$3)),ISNUMBER(SEARCH(Ref!$H16,Ref!$F$4)),ISNUMBER(SEARCH(Ref!$H16,Ref!$F$5)),ISNUMBER(SEARCH(Ref!$H16,Ref!$F$6)),ISNUMBER(SEARCH(Ref!$H16,Ref!$F$7)),ISNUMBER(SEARCH(Ref!$H16,Ref!$F$8))),"",1)</f>
        <v>1</v>
      </c>
    </row>
    <row r="355" spans="1:9" ht="48" hidden="1" customHeight="1" x14ac:dyDescent="0.25">
      <c r="A355" s="30"/>
      <c r="B355" s="94"/>
      <c r="C355" s="87" t="s">
        <v>129</v>
      </c>
      <c r="D355" s="87"/>
      <c r="E355" s="6"/>
      <c r="F355" s="6"/>
      <c r="G355" s="115"/>
      <c r="I355">
        <f>IF(OR(ISNUMBER(SEARCH(Ref!$H17,Ref!$F$2)),ISNUMBER(SEARCH(Ref!$H17,Ref!$F$3)),ISNUMBER(SEARCH(Ref!$H17,Ref!$F$4)),ISNUMBER(SEARCH(Ref!$H17,Ref!$F$5)),ISNUMBER(SEARCH(Ref!$H17,Ref!$F$6)),ISNUMBER(SEARCH(Ref!$H17,Ref!$F$7)),ISNUMBER(SEARCH(Ref!$H17,Ref!$F$8))),"",1)</f>
        <v>1</v>
      </c>
    </row>
    <row r="356" spans="1:9" ht="48" hidden="1" customHeight="1" x14ac:dyDescent="0.25">
      <c r="A356" s="30"/>
      <c r="B356" s="94"/>
      <c r="C356" s="87" t="s">
        <v>130</v>
      </c>
      <c r="D356" s="87"/>
      <c r="E356" s="6"/>
      <c r="F356" s="6"/>
      <c r="G356" s="115"/>
      <c r="I356">
        <f>IF(OR(ISNUMBER(SEARCH(Ref!$H18,Ref!$F$2)),ISNUMBER(SEARCH(Ref!$H18,Ref!$F$3)),ISNUMBER(SEARCH(Ref!$H18,Ref!$F$4)),ISNUMBER(SEARCH(Ref!$H18,Ref!$F$5)),ISNUMBER(SEARCH(Ref!$H18,Ref!$F$6)),ISNUMBER(SEARCH(Ref!$H18,Ref!$F$7)),ISNUMBER(SEARCH(Ref!$H18,Ref!$F$8))),"",1)</f>
        <v>1</v>
      </c>
    </row>
    <row r="357" spans="1:9" ht="48" hidden="1" customHeight="1" x14ac:dyDescent="0.25">
      <c r="A357" s="30"/>
      <c r="B357" s="94"/>
      <c r="C357" s="87" t="s">
        <v>131</v>
      </c>
      <c r="D357" s="87"/>
      <c r="E357" s="6"/>
      <c r="F357" s="6"/>
      <c r="G357" s="115"/>
      <c r="I357">
        <f>IF(OR(ISNUMBER(SEARCH(Ref!$H19,Ref!$F$2)),ISNUMBER(SEARCH(Ref!$H19,Ref!$F$3)),ISNUMBER(SEARCH(Ref!$H19,Ref!$F$4)),ISNUMBER(SEARCH(Ref!$H19,Ref!$F$5)),ISNUMBER(SEARCH(Ref!$H19,Ref!$F$6)),ISNUMBER(SEARCH(Ref!$H19,Ref!$F$7)),ISNUMBER(SEARCH(Ref!$H19,Ref!$F$8))),"",1)</f>
        <v>1</v>
      </c>
    </row>
    <row r="358" spans="1:9" ht="48" hidden="1" customHeight="1" x14ac:dyDescent="0.25">
      <c r="A358" s="30"/>
      <c r="B358" s="94"/>
      <c r="C358" s="87" t="s">
        <v>132</v>
      </c>
      <c r="D358" s="87"/>
      <c r="E358" s="6"/>
      <c r="F358" s="6"/>
      <c r="G358" s="115"/>
      <c r="I358">
        <f>IF(OR(ISNUMBER(SEARCH(Ref!$H20,Ref!$F$2)),ISNUMBER(SEARCH(Ref!$H20,Ref!$F$3)),ISNUMBER(SEARCH(Ref!$H20,Ref!$F$4)),ISNUMBER(SEARCH(Ref!$H20,Ref!$F$5)),ISNUMBER(SEARCH(Ref!$H20,Ref!$F$6)),ISNUMBER(SEARCH(Ref!$H20,Ref!$F$7)),ISNUMBER(SEARCH(Ref!$H20,Ref!$F$8))),"",1)</f>
        <v>1</v>
      </c>
    </row>
    <row r="359" spans="1:9" ht="48" hidden="1" customHeight="1" x14ac:dyDescent="0.25">
      <c r="A359" s="30"/>
      <c r="B359" s="94"/>
      <c r="C359" s="87" t="s">
        <v>133</v>
      </c>
      <c r="D359" s="87"/>
      <c r="E359" s="6"/>
      <c r="F359" s="6"/>
      <c r="G359" s="115"/>
      <c r="I359">
        <f>IF(OR(ISNUMBER(SEARCH(Ref!$H21,Ref!$F$2)),ISNUMBER(SEARCH(Ref!$H21,Ref!$F$3)),ISNUMBER(SEARCH(Ref!$H21,Ref!$F$4)),ISNUMBER(SEARCH(Ref!$H21,Ref!$F$5)),ISNUMBER(SEARCH(Ref!$H21,Ref!$F$6)),ISNUMBER(SEARCH(Ref!$H21,Ref!$F$7)),ISNUMBER(SEARCH(Ref!$H21,Ref!$F$8))),"",1)</f>
        <v>1</v>
      </c>
    </row>
    <row r="360" spans="1:9" ht="48" hidden="1" customHeight="1" x14ac:dyDescent="0.25">
      <c r="A360" s="30"/>
      <c r="B360" s="94"/>
      <c r="C360" s="87" t="s">
        <v>134</v>
      </c>
      <c r="D360" s="87"/>
      <c r="E360" s="6"/>
      <c r="F360" s="6"/>
      <c r="G360" s="115"/>
      <c r="I360">
        <f>IF(OR(ISNUMBER(SEARCH(Ref!$H22,Ref!$F$2)),ISNUMBER(SEARCH(Ref!$H22,Ref!$F$3)),ISNUMBER(SEARCH(Ref!$H22,Ref!$F$4)),ISNUMBER(SEARCH(Ref!$H22,Ref!$F$5)),ISNUMBER(SEARCH(Ref!$H22,Ref!$F$6)),ISNUMBER(SEARCH(Ref!$H22,Ref!$F$7)),ISNUMBER(SEARCH(Ref!$H22,Ref!$F$8))),"",1)</f>
        <v>1</v>
      </c>
    </row>
    <row r="361" spans="1:9" ht="48" hidden="1" customHeight="1" x14ac:dyDescent="0.25">
      <c r="A361" s="30"/>
      <c r="B361" s="94"/>
      <c r="C361" s="87" t="s">
        <v>135</v>
      </c>
      <c r="D361" s="87"/>
      <c r="E361" s="6"/>
      <c r="F361" s="6"/>
      <c r="G361" s="115"/>
      <c r="I361">
        <f>IF(OR(ISNUMBER(SEARCH(Ref!$H23,Ref!$F$2)),ISNUMBER(SEARCH(Ref!$H23,Ref!$F$3)),ISNUMBER(SEARCH(Ref!$H23,Ref!$F$4)),ISNUMBER(SEARCH(Ref!$H23,Ref!$F$5)),ISNUMBER(SEARCH(Ref!$H23,Ref!$F$6)),ISNUMBER(SEARCH(Ref!$H23,Ref!$F$7)),ISNUMBER(SEARCH(Ref!$H23,Ref!$F$8))),"",1)</f>
        <v>1</v>
      </c>
    </row>
    <row r="362" spans="1:9" ht="48" hidden="1" customHeight="1" x14ac:dyDescent="0.25">
      <c r="A362" s="30"/>
      <c r="B362" s="94"/>
      <c r="C362" s="87" t="s">
        <v>136</v>
      </c>
      <c r="D362" s="87"/>
      <c r="E362" s="6"/>
      <c r="F362" s="6"/>
      <c r="G362" s="115"/>
      <c r="I362">
        <f>IF(OR(ISNUMBER(SEARCH(Ref!$H24,Ref!$F$2)),ISNUMBER(SEARCH(Ref!$H24,Ref!$F$3)),ISNUMBER(SEARCH(Ref!$H24,Ref!$F$4)),ISNUMBER(SEARCH(Ref!$H24,Ref!$F$5)),ISNUMBER(SEARCH(Ref!$H24,Ref!$F$6)),ISNUMBER(SEARCH(Ref!$H24,Ref!$F$7)),ISNUMBER(SEARCH(Ref!$H24,Ref!$F$8))),"",1)</f>
        <v>1</v>
      </c>
    </row>
    <row r="363" spans="1:9" ht="48" hidden="1" customHeight="1" x14ac:dyDescent="0.25">
      <c r="A363" s="30"/>
      <c r="B363" s="94"/>
      <c r="C363" s="87" t="s">
        <v>137</v>
      </c>
      <c r="D363" s="87"/>
      <c r="E363" s="6"/>
      <c r="F363" s="6"/>
      <c r="G363" s="115"/>
      <c r="I363">
        <f>IF(OR(ISNUMBER(SEARCH(Ref!$H25,Ref!$F$2)),ISNUMBER(SEARCH(Ref!$H25,Ref!$F$3)),ISNUMBER(SEARCH(Ref!$H25,Ref!$F$4)),ISNUMBER(SEARCH(Ref!$H25,Ref!$F$5)),ISNUMBER(SEARCH(Ref!$H25,Ref!$F$6)),ISNUMBER(SEARCH(Ref!$H25,Ref!$F$7)),ISNUMBER(SEARCH(Ref!$H25,Ref!$F$8))),"",1)</f>
        <v>1</v>
      </c>
    </row>
    <row r="364" spans="1:9" ht="48" hidden="1" customHeight="1" x14ac:dyDescent="0.25">
      <c r="A364" s="30"/>
      <c r="B364" s="94"/>
      <c r="C364" s="87" t="s">
        <v>138</v>
      </c>
      <c r="D364" s="87"/>
      <c r="E364" s="6"/>
      <c r="F364" s="6"/>
      <c r="G364" s="115"/>
      <c r="I364">
        <f>IF(OR(ISNUMBER(SEARCH(Ref!$H26,Ref!$F$2)),ISNUMBER(SEARCH(Ref!$H26,Ref!$F$3)),ISNUMBER(SEARCH(Ref!$H26,Ref!$F$4)),ISNUMBER(SEARCH(Ref!$H26,Ref!$F$5)),ISNUMBER(SEARCH(Ref!$H26,Ref!$F$6)),ISNUMBER(SEARCH(Ref!$H26,Ref!$F$7)),ISNUMBER(SEARCH(Ref!$H26,Ref!$F$8))),"",1)</f>
        <v>1</v>
      </c>
    </row>
    <row r="365" spans="1:9" ht="48" hidden="1" customHeight="1" x14ac:dyDescent="0.25">
      <c r="A365" s="30"/>
      <c r="B365" s="96"/>
      <c r="C365" s="97" t="s">
        <v>139</v>
      </c>
      <c r="D365" s="97"/>
      <c r="E365" s="21"/>
      <c r="F365" s="21"/>
      <c r="G365" s="11"/>
      <c r="I365">
        <f>IF(OR(ISNUMBER(SEARCH(Ref!$H27,Ref!$F$2)),ISNUMBER(SEARCH(Ref!$H27,Ref!$F$3)),ISNUMBER(SEARCH(Ref!$H27,Ref!$F$4)),ISNUMBER(SEARCH(Ref!$H27,Ref!$F$5)),ISNUMBER(SEARCH(Ref!$H27,Ref!$F$6)),ISNUMBER(SEARCH(Ref!$H27,Ref!$F$7)),ISNUMBER(SEARCH(Ref!$H27,Ref!$F$8))),"",1)</f>
        <v>1</v>
      </c>
    </row>
    <row r="366" spans="1:9" ht="18" customHeight="1" x14ac:dyDescent="0.35">
      <c r="A366" s="30"/>
      <c r="B366" s="270" t="s">
        <v>140</v>
      </c>
      <c r="C366" s="271"/>
      <c r="D366" s="271"/>
      <c r="E366" s="271"/>
      <c r="F366" s="271"/>
      <c r="G366" s="272"/>
    </row>
    <row r="367" spans="1:9" ht="15.75" x14ac:dyDescent="0.25">
      <c r="A367" s="30"/>
      <c r="B367" s="273" t="s">
        <v>141</v>
      </c>
      <c r="C367" s="274"/>
      <c r="D367" s="274"/>
      <c r="E367" s="274"/>
      <c r="F367" s="274"/>
      <c r="G367" s="275"/>
    </row>
    <row r="368" spans="1:9" x14ac:dyDescent="0.25">
      <c r="A368" s="30">
        <v>1</v>
      </c>
      <c r="B368" s="267" t="str">
        <f>IFERROR(INDEX('SOP register'!$O:$O,MATCH(CONCATENATE(RIGHT($B$1,7),".",$A368,B$24),'SOP register'!$D:$D,0)),"")</f>
        <v>Biological infection</v>
      </c>
      <c r="C368" s="267"/>
      <c r="D368" s="267" t="str">
        <f>IFERROR(INDEX('SOP register'!$O:$O,MATCH(CONCATENATE(RIGHT($B$1,7),".",$A368,D$24),'SOP register'!$D:$D,0)),"")</f>
        <v>Chemical exposure</v>
      </c>
      <c r="E368" s="267"/>
      <c r="F368" s="267" t="str">
        <f>IFERROR(INDEX('SOP register'!$O:$O,MATCH(CONCATENATE(RIGHT($B$1,7),".",$A368,F$24),'SOP register'!$D:$D,0)),"")</f>
        <v>Sharp cutting tools or needles</v>
      </c>
      <c r="G368" s="267"/>
      <c r="I368" t="str">
        <f>IF(IFERROR(INDEX('SOP register'!$O:$O,MATCH(CONCATENATE(RIGHT($B$1,7),".",$A368,B$24),'SOP register'!$D:$D,0)),"")="",1,"")</f>
        <v/>
      </c>
    </row>
    <row r="369" spans="1:9" x14ac:dyDescent="0.25">
      <c r="A369" s="30">
        <v>2</v>
      </c>
      <c r="B369" s="267" t="str">
        <f>IFERROR(INDEX('SOP register'!$O:$O,MATCH(CONCATENATE(RIGHT($B$1,7),".",$A369,B$24),'SOP register'!$D:$D,0)),"")</f>
        <v>Eye injury and/or infection</v>
      </c>
      <c r="C369" s="267"/>
      <c r="D369" s="267">
        <f>IFERROR(INDEX('SOP register'!$O:$O,MATCH(CONCATENATE(RIGHT($B$1,7),".",$A369,D$24),'SOP register'!$D:$D,0)),"")</f>
        <v>0</v>
      </c>
      <c r="E369" s="267"/>
      <c r="F369" s="267">
        <f>IFERROR(INDEX('SOP register'!$O:$O,MATCH(CONCATENATE(RIGHT($B$1,7),".",$A369,F$24),'SOP register'!$D:$D,0)),"")</f>
        <v>0</v>
      </c>
      <c r="G369" s="267"/>
      <c r="I369" t="str">
        <f>IF(IFERROR(INDEX('SOP register'!$O:$O,MATCH(CONCATENATE(RIGHT($B$1,7),".",$A369,B$24),'SOP register'!$D:$D,0)),"")="",1,"")</f>
        <v/>
      </c>
    </row>
    <row r="370" spans="1:9" hidden="1" x14ac:dyDescent="0.25">
      <c r="A370" s="30">
        <v>3</v>
      </c>
      <c r="B370" s="267">
        <f>IFERROR(INDEX('SOP register'!$O:$O,MATCH(CONCATENATE(RIGHT($B$1,7),".",$A370,B$24),'SOP register'!$D:$D,0)),"")</f>
        <v>0</v>
      </c>
      <c r="C370" s="267"/>
      <c r="D370" s="267">
        <f>IFERROR(INDEX('SOP register'!$O:$O,MATCH(CONCATENATE(RIGHT($B$1,7),".",$A370,D$24),'SOP register'!$D:$D,0)),"")</f>
        <v>0</v>
      </c>
      <c r="E370" s="267"/>
      <c r="F370" s="267">
        <f>IFERROR(INDEX('SOP register'!$O:$O,MATCH(CONCATENATE(RIGHT($B$1,7),".",$A370,F$24),'SOP register'!$D:$D,0)),"")</f>
        <v>0</v>
      </c>
      <c r="G370" s="267"/>
      <c r="I370">
        <f>IF(IFERROR(INDEX('SOP register'!$O:$O,MATCH(CONCATENATE(RIGHT($B$1,7),".",$A370,B$24),'SOP register'!$D:$D,0)),"")="",1,"")</f>
        <v>1</v>
      </c>
    </row>
    <row r="371" spans="1:9" hidden="1" x14ac:dyDescent="0.25">
      <c r="A371" s="30">
        <v>4</v>
      </c>
      <c r="B371" s="267">
        <f>IFERROR(INDEX('SOP register'!$O:$O,MATCH(CONCATENATE(RIGHT($B$1,7),".",$A371,B$24),'SOP register'!$D:$D,0)),"")</f>
        <v>0</v>
      </c>
      <c r="C371" s="267"/>
      <c r="D371" s="267">
        <f>IFERROR(INDEX('SOP register'!$O:$O,MATCH(CONCATENATE(RIGHT($B$1,7),".",$A371,D$24),'SOP register'!$D:$D,0)),"")</f>
        <v>0</v>
      </c>
      <c r="E371" s="267"/>
      <c r="F371" s="267">
        <f>IFERROR(INDEX('SOP register'!$O:$O,MATCH(CONCATENATE(RIGHT($B$1,7),".",$A371,F$24),'SOP register'!$D:$D,0)),"")</f>
        <v>0</v>
      </c>
      <c r="G371" s="267"/>
      <c r="I371">
        <f>IF(IFERROR(INDEX('SOP register'!$O:$O,MATCH(CONCATENATE(RIGHT($B$1,7),".",$A371,B$24),'SOP register'!$D:$D,0)),"")="",1,"")</f>
        <v>1</v>
      </c>
    </row>
    <row r="372" spans="1:9" hidden="1" x14ac:dyDescent="0.25">
      <c r="A372" s="30">
        <v>5</v>
      </c>
      <c r="B372" s="267" t="str">
        <f>IFERROR(INDEX('SOP register'!$O:$O,MATCH(CONCATENATE(RIGHT($B$1,7),".",$A372,B$24),'SOP register'!$D:$D,0)),"")</f>
        <v/>
      </c>
      <c r="C372" s="267"/>
      <c r="D372" s="267" t="str">
        <f>IFERROR(INDEX('SOP register'!$O:$O,MATCH(CONCATENATE(RIGHT($B$1,7),".",$A372,D$24),'SOP register'!$D:$D,0)),"")</f>
        <v/>
      </c>
      <c r="E372" s="267"/>
      <c r="F372" s="267" t="str">
        <f>IFERROR(INDEX('SOP register'!$O:$O,MATCH(CONCATENATE(RIGHT($B$1,7),".",$A372,F$24),'SOP register'!$D:$D,0)),"")</f>
        <v/>
      </c>
      <c r="G372" s="267"/>
      <c r="I372">
        <f>IF(IFERROR(INDEX('SOP register'!$O:$O,MATCH(CONCATENATE(RIGHT($B$1,7),".",$A372,B$24),'SOP register'!$D:$D,0)),"")="",1,"")</f>
        <v>1</v>
      </c>
    </row>
    <row r="373" spans="1:9" hidden="1" x14ac:dyDescent="0.25">
      <c r="A373" s="30">
        <v>6</v>
      </c>
      <c r="B373" s="288" t="str">
        <f>IFERROR(INDEX('SOP register'!$O:$O,MATCH(CONCATENATE(RIGHT($B$1,7),".",$A373,B$24),'SOP register'!$D:$D,0)),"")</f>
        <v/>
      </c>
      <c r="C373" s="288"/>
      <c r="D373" s="288" t="str">
        <f>IFERROR(INDEX('SOP register'!$O:$O,MATCH(CONCATENATE(RIGHT($B$1,7),".",$A373,D$24),'SOP register'!$D:$D,0)),"")</f>
        <v/>
      </c>
      <c r="E373" s="288"/>
      <c r="F373" s="288" t="str">
        <f>IFERROR(INDEX('SOP register'!$O:$O,MATCH(CONCATENATE(RIGHT($B$1,7),".",$A373,F$24),'SOP register'!$D:$D,0)),"")</f>
        <v/>
      </c>
      <c r="G373" s="288"/>
      <c r="I373">
        <f>IF(IFERROR(INDEX('SOP register'!$O:$O,MATCH(CONCATENATE(RIGHT($B$1,7),".",$A373,B$24),'SOP register'!$D:$D,0)),"")="",1,"")</f>
        <v>1</v>
      </c>
    </row>
    <row r="374" spans="1:9" ht="15.75" x14ac:dyDescent="0.25">
      <c r="A374" s="30"/>
      <c r="B374" s="273" t="s">
        <v>142</v>
      </c>
      <c r="C374" s="274"/>
      <c r="D374" s="274"/>
      <c r="E374" s="274"/>
      <c r="F374" s="274"/>
      <c r="G374" s="275"/>
    </row>
    <row r="375" spans="1:9" ht="15.6" customHeight="1" x14ac:dyDescent="0.25">
      <c r="A375" s="30">
        <v>1</v>
      </c>
      <c r="B375" s="282" t="str">
        <f>IFERROR(INDEX('SOP register'!$Z:$Z,MATCH(CONCATENATE(RIGHT($B$1,7),".",$A375),'SOP register'!$B:$B,0)),"")</f>
        <v>If alarm sounds for freezer or other systems, immediately stop work and inform facilities personnel</v>
      </c>
      <c r="C375" s="283"/>
      <c r="D375" s="283"/>
      <c r="E375" s="283"/>
      <c r="F375" s="283"/>
      <c r="G375" s="284"/>
      <c r="I375" t="str">
        <f>IF(IFERROR(INDEX('SOP register'!$Z:$Z,MATCH(CONCATENATE(RIGHT($B$1,7),".",$A375),'SOP register'!$B:$B,0)),"")="",1,"")</f>
        <v/>
      </c>
    </row>
    <row r="376" spans="1:9" ht="15.6" customHeight="1" x14ac:dyDescent="0.25">
      <c r="A376" s="30">
        <v>2</v>
      </c>
      <c r="B376" s="282" t="str">
        <f>IFERROR(INDEX('SOP register'!$Z:$Z,MATCH(CONCATENATE(RIGHT($B$1,7),".",$A376),'SOP register'!$B:$B,0)),"")</f>
        <v>Clean up and prepare for contractor access and leave laboratory</v>
      </c>
      <c r="C376" s="283"/>
      <c r="D376" s="283"/>
      <c r="E376" s="283"/>
      <c r="F376" s="283"/>
      <c r="G376" s="284"/>
      <c r="I376" t="str">
        <f>IF(IFERROR(INDEX('SOP register'!$Z:$Z,MATCH(CONCATENATE(RIGHT($B$1,7),".",$A376),'SOP register'!$B:$B,0)),"")="",1,"")</f>
        <v/>
      </c>
    </row>
    <row r="377" spans="1:9" ht="15.6" customHeight="1" x14ac:dyDescent="0.25">
      <c r="A377" s="30">
        <v>3</v>
      </c>
      <c r="B377" s="282" t="str">
        <f>IFERROR(INDEX('SOP register'!$Z:$Z,MATCH(CONCATENATE(RIGHT($B$1,7),".",$A377),'SOP register'!$B:$B,0)),"")</f>
        <v>If skin is exposed to chemical flush the affected area with water or use emergency shower</v>
      </c>
      <c r="C377" s="283"/>
      <c r="D377" s="283"/>
      <c r="E377" s="283"/>
      <c r="F377" s="283"/>
      <c r="G377" s="284"/>
      <c r="I377" t="str">
        <f>IF(IFERROR(INDEX('SOP register'!$Z:$Z,MATCH(CONCATENATE(RIGHT($B$1,7),".",$A377),'SOP register'!$B:$B,0)),"")="",1,"")</f>
        <v/>
      </c>
    </row>
    <row r="378" spans="1:9" ht="15.6" customHeight="1" x14ac:dyDescent="0.25">
      <c r="A378" s="30">
        <v>4</v>
      </c>
      <c r="B378" s="282" t="str">
        <f>IFERROR(INDEX('SOP register'!$Z:$Z,MATCH(CONCATENATE(RIGHT($B$1,7),".",$A378),'SOP register'!$B:$B,0)),"")</f>
        <v>If skin exposed to biological matter wash with antibacterial soap</v>
      </c>
      <c r="C378" s="283"/>
      <c r="D378" s="283"/>
      <c r="E378" s="283"/>
      <c r="F378" s="283"/>
      <c r="G378" s="284"/>
      <c r="I378" t="str">
        <f>IF(IFERROR(INDEX('SOP register'!$Z:$Z,MATCH(CONCATENATE(RIGHT($B$1,7),".",$A378),'SOP register'!$B:$B,0)),"")="",1,"")</f>
        <v/>
      </c>
    </row>
    <row r="379" spans="1:9" x14ac:dyDescent="0.25">
      <c r="A379" s="30">
        <v>5</v>
      </c>
      <c r="B379" s="294" t="str">
        <f>IFERROR(INDEX('SOP register'!$Z:$Z,MATCH(CONCATENATE(RIGHT($B$1,7),".",$A379),'SOP register'!$B:$B,0)),"")</f>
        <v>If eyes are exposed to liquid or chemical, use eyewash to rinse eyes</v>
      </c>
      <c r="C379" s="295"/>
      <c r="D379" s="295"/>
      <c r="E379" s="295"/>
      <c r="F379" s="295"/>
      <c r="G379" s="296"/>
      <c r="I379" t="str">
        <f>IF(IFERROR(INDEX('SOP register'!$Z:$Z,MATCH(CONCATENATE(RIGHT($B$1,7),".",$A379),'SOP register'!$B:$B,0)),"")="",1,"")</f>
        <v/>
      </c>
    </row>
    <row r="380" spans="1:9" x14ac:dyDescent="0.25">
      <c r="A380" s="30">
        <v>6</v>
      </c>
      <c r="B380" s="290" t="str">
        <f>IFERROR(INDEX('SOP register'!$Z:$Z,MATCH(CONCATENATE(RIGHT($B$1,7),".",$A380),'SOP register'!$B:$B,0)),"")</f>
        <v>Seek medical treatment for exposure</v>
      </c>
      <c r="C380" s="291"/>
      <c r="D380" s="291"/>
      <c r="E380" s="291"/>
      <c r="F380" s="291"/>
      <c r="G380" s="292"/>
      <c r="I380" t="str">
        <f>IF(IFERROR(INDEX('SOP register'!$Z:$Z,MATCH(CONCATENATE(RIGHT($B$1,7),".",$A380),'SOP register'!$B:$B,0)),"")="",1,"")</f>
        <v/>
      </c>
    </row>
    <row r="381" spans="1:9" ht="15.75" x14ac:dyDescent="0.25">
      <c r="A381" s="30"/>
      <c r="B381" s="273" t="s">
        <v>143</v>
      </c>
      <c r="C381" s="274"/>
      <c r="D381" s="274"/>
      <c r="E381" s="274"/>
      <c r="F381" s="274"/>
      <c r="G381" s="275"/>
    </row>
    <row r="382" spans="1:9" x14ac:dyDescent="0.25">
      <c r="A382" s="30">
        <v>1</v>
      </c>
      <c r="B382" s="267" t="str">
        <f>IFERROR(INDEX('SOP register'!$V:$V,MATCH(CONCATENATE(RIGHT($B$1,7),".",$A382,B$24),'SOP register'!$C:$C,0)),"")</f>
        <v>Do not remove PPE unless in an emergency</v>
      </c>
      <c r="C382" s="267"/>
      <c r="D382" s="267"/>
      <c r="E382" s="267" t="str">
        <f>IFERROR(INDEX('SOP register'!$V:$V,MATCH(CONCATENATE(RIGHT($B$1,7),".",$A382,E$24),'SOP register'!$C:$C,0)),"")</f>
        <v>Do not consume or bring food into the laboratory</v>
      </c>
      <c r="F382" s="267"/>
      <c r="G382" s="267"/>
      <c r="I382" t="str">
        <f>IF(IFERROR(INDEX('SOP register'!$V:$V,MATCH(CONCATENATE(RIGHT($B$1,7),".",$A382,B$24),'SOP register'!$C:$C,0)),"")="",1,"")</f>
        <v/>
      </c>
    </row>
    <row r="383" spans="1:9" x14ac:dyDescent="0.25">
      <c r="A383" s="30">
        <v>2</v>
      </c>
      <c r="B383" s="267" t="str">
        <f>IFERROR(INDEX('SOP register'!$V:$V,MATCH(CONCATENATE(RIGHT($B$1,7),".",$A383,B$24),'SOP register'!$C:$C,0)),"")</f>
        <v>Do not remove anything without decontamination</v>
      </c>
      <c r="C383" s="267"/>
      <c r="D383" s="267"/>
      <c r="E383" s="267" t="str">
        <f>IFERROR(INDEX('SOP register'!$V:$V,MATCH(CONCATENATE(RIGHT($B$1,7),".",$A383,E$24),'SOP register'!$C:$C,0)),"")</f>
        <v>Do not perform any activity without authority</v>
      </c>
      <c r="F383" s="267"/>
      <c r="G383" s="267"/>
      <c r="I383" t="str">
        <f>IF(IFERROR(INDEX('SOP register'!$V:$V,MATCH(CONCATENATE(RIGHT($B$1,7),".",$A383,B$24),'SOP register'!$C:$C,0)),"")="",1,"")</f>
        <v/>
      </c>
    </row>
    <row r="384" spans="1:9" ht="15" customHeight="1" x14ac:dyDescent="0.25">
      <c r="A384" s="30">
        <v>3</v>
      </c>
      <c r="B384" s="289" t="str">
        <f>IFERROR(INDEX('SOP register'!$V:$V,MATCH(CONCATENATE(RIGHT($B$1,7),".",$A384,B$24),'SOP register'!$C:$C,0)),"")</f>
        <v>No access outside the hours 7am-6pm, unless authorised</v>
      </c>
      <c r="C384" s="289"/>
      <c r="D384" s="289"/>
      <c r="E384" s="267">
        <f>IFERROR(INDEX('SOP register'!$V:$V,MATCH(CONCATENATE(RIGHT($B$1,7),".",$A384,E$24),'SOP register'!$C:$C,0)),"")</f>
        <v>0</v>
      </c>
      <c r="F384" s="267"/>
      <c r="G384" s="267"/>
      <c r="I384" t="str">
        <f>IF(IFERROR(INDEX('SOP register'!$V:$V,MATCH(CONCATENATE(RIGHT($B$1,7),".",$A384,B$24),'SOP register'!$C:$C,0)),"")="",1,"")</f>
        <v/>
      </c>
    </row>
    <row r="385" spans="1:9" hidden="1" x14ac:dyDescent="0.25">
      <c r="A385" s="30">
        <v>4</v>
      </c>
      <c r="B385" s="267">
        <f>IFERROR(INDEX('SOP register'!$V:$V,MATCH(CONCATENATE(RIGHT($B$1,7),".",$A385,B$24),'SOP register'!$C:$C,0)),"")</f>
        <v>0</v>
      </c>
      <c r="C385" s="267"/>
      <c r="D385" s="267"/>
      <c r="E385" s="267">
        <f>IFERROR(INDEX('SOP register'!$V:$V,MATCH(CONCATENATE(RIGHT($B$1,7),".",$A385,E$24),'SOP register'!$C:$C,0)),"")</f>
        <v>0</v>
      </c>
      <c r="F385" s="267"/>
      <c r="G385" s="267"/>
      <c r="I385">
        <f>IF(IFERROR(INDEX('SOP register'!$V:$V,MATCH(CONCATENATE(RIGHT($B$1,7),".",$A385,B$24),'SOP register'!$C:$C,0)),"")="",1,"")</f>
        <v>1</v>
      </c>
    </row>
    <row r="386" spans="1:9" hidden="1" x14ac:dyDescent="0.25">
      <c r="A386" s="30">
        <v>5</v>
      </c>
      <c r="B386" s="267">
        <f>IFERROR(INDEX('SOP register'!$V:$V,MATCH(CONCATENATE(RIGHT($B$1,7),".",$A386,B$24),'SOP register'!$C:$C,0)),"")</f>
        <v>0</v>
      </c>
      <c r="C386" s="267"/>
      <c r="D386" s="267"/>
      <c r="E386" s="267">
        <f>IFERROR(INDEX('SOP register'!$V:$V,MATCH(CONCATENATE(RIGHT($B$1,7),".",$A386,E$24),'SOP register'!$C:$C,0)),"")</f>
        <v>0</v>
      </c>
      <c r="F386" s="267"/>
      <c r="G386" s="267"/>
      <c r="I386">
        <f>IF(IFERROR(INDEX('SOP register'!$V:$V,MATCH(CONCATENATE(RIGHT($B$1,7),".",$A386,B$24),'SOP register'!$C:$C,0)),"")="",1,"")</f>
        <v>1</v>
      </c>
    </row>
    <row r="387" spans="1:9" hidden="1" x14ac:dyDescent="0.25">
      <c r="A387" s="30">
        <v>6</v>
      </c>
      <c r="B387" s="267">
        <f>IFERROR(INDEX('SOP register'!$V:$V,MATCH(CONCATENATE(RIGHT($B$1,7),".",$A387,B$24),'SOP register'!$C:$C,0)),"")</f>
        <v>0</v>
      </c>
      <c r="C387" s="267"/>
      <c r="D387" s="267"/>
      <c r="E387" s="267">
        <f>IFERROR(INDEX('SOP register'!$V:$V,MATCH(CONCATENATE(RIGHT($B$1,7),".",$A387,E$24),'SOP register'!$C:$C,0)),"")</f>
        <v>0</v>
      </c>
      <c r="F387" s="267"/>
      <c r="G387" s="267"/>
      <c r="I387">
        <f>IF(IFERROR(INDEX('SOP register'!$V:$V,MATCH(CONCATENATE(RIGHT($B$1,7),".",$A387,B$24),'SOP register'!$C:$C,0)),"")="",1,"")</f>
        <v>1</v>
      </c>
    </row>
    <row r="388" spans="1:9" hidden="1" x14ac:dyDescent="0.25">
      <c r="A388" s="30">
        <v>7</v>
      </c>
      <c r="B388" s="267" t="str">
        <f>IFERROR(INDEX('SOP register'!$V:$V,MATCH(CONCATENATE(RIGHT($B$1,7),".",$A388,B$24),'SOP register'!$C:$C,0)),"")</f>
        <v/>
      </c>
      <c r="C388" s="267"/>
      <c r="D388" s="267"/>
      <c r="E388" s="267" t="str">
        <f>IFERROR(INDEX('SOP register'!$V:$V,MATCH(CONCATENATE(RIGHT($B$1,7),".",$A388,E$24),'SOP register'!$C:$C,0)),"")</f>
        <v/>
      </c>
      <c r="F388" s="267"/>
      <c r="G388" s="267"/>
      <c r="I388">
        <f>IF(IFERROR(INDEX('SOP register'!$V:$V,MATCH(CONCATENATE(RIGHT($B$1,7),".",$A388,B$24),'SOP register'!$C:$C,0)),"")="",1,"")</f>
        <v>1</v>
      </c>
    </row>
    <row r="389" spans="1:9" hidden="1" x14ac:dyDescent="0.25">
      <c r="A389" s="30">
        <v>8</v>
      </c>
      <c r="B389" s="267" t="str">
        <f>IFERROR(INDEX('SOP register'!$V:$V,MATCH(CONCATENATE(RIGHT($B$1,7),".",$A389,B$24),'SOP register'!$C:$C,0)),"")</f>
        <v/>
      </c>
      <c r="C389" s="267"/>
      <c r="D389" s="267"/>
      <c r="E389" s="267" t="str">
        <f>IFERROR(INDEX('SOP register'!$V:$V,MATCH(CONCATENATE(RIGHT($B$1,7),".",$A389,E$24),'SOP register'!$C:$C,0)),"")</f>
        <v/>
      </c>
      <c r="F389" s="267"/>
      <c r="G389" s="267"/>
      <c r="I389">
        <f>IF(IFERROR(INDEX('SOP register'!$V:$V,MATCH(CONCATENATE(RIGHT($B$1,7),".",$A389,B$24),'SOP register'!$C:$C,0)),"")="",1,"")</f>
        <v>1</v>
      </c>
    </row>
    <row r="390" spans="1:9" hidden="1" x14ac:dyDescent="0.25">
      <c r="A390" s="30">
        <v>9</v>
      </c>
      <c r="B390" s="288" t="str">
        <f>IFERROR(INDEX('SOP register'!$V:$V,MATCH(CONCATENATE(RIGHT($B$1,7),".",$A390,B$24),'SOP register'!$C:$C,0)),"")</f>
        <v/>
      </c>
      <c r="C390" s="288"/>
      <c r="D390" s="288"/>
      <c r="E390" s="288" t="str">
        <f>IFERROR(INDEX('SOP register'!$V:$V,MATCH(CONCATENATE(RIGHT($B$1,7),".",$A390,E$24),'SOP register'!$C:$C,0)),"")</f>
        <v/>
      </c>
      <c r="F390" s="288"/>
      <c r="G390" s="288"/>
      <c r="I390">
        <f>IF(IFERROR(INDEX('SOP register'!$V:$V,MATCH(CONCATENATE(RIGHT($B$1,7),".",$A390,B$24),'SOP register'!$C:$C,0)),"")="",1,"")</f>
        <v>1</v>
      </c>
    </row>
    <row r="391" spans="1:9" ht="15.75" x14ac:dyDescent="0.25">
      <c r="A391" s="30"/>
      <c r="B391" s="273" t="s">
        <v>144</v>
      </c>
      <c r="C391" s="274"/>
      <c r="D391" s="274"/>
      <c r="E391" s="274"/>
      <c r="F391" s="274"/>
      <c r="G391" s="275"/>
    </row>
    <row r="392" spans="1:9" ht="15" customHeight="1" x14ac:dyDescent="0.25">
      <c r="A392" s="30">
        <v>1</v>
      </c>
      <c r="B392" s="282" t="str">
        <f>IFERROR(A392&amp;". "&amp;INDEX('SOP register'!$W:$W,MATCH(CONCATENATE(RIGHT($B$1,7),".",$A392),'SOP register'!$B:$B,0)),"")</f>
        <v>1. Obtain approval to enter laboratory with authorised personnel</v>
      </c>
      <c r="C392" s="283"/>
      <c r="D392" s="283"/>
      <c r="E392" s="283"/>
      <c r="F392" s="283"/>
      <c r="G392" s="284"/>
      <c r="I392" t="str">
        <f>IF(IFERROR(INDEX('SOP register'!$W:$W,MATCH(CONCATENATE(RIGHT($B$1,7),".",$A392),'SOP register'!$B:$B,0)),"")="",1,"")</f>
        <v/>
      </c>
    </row>
    <row r="393" spans="1:9" ht="14.45" customHeight="1" x14ac:dyDescent="0.25">
      <c r="A393" s="30">
        <v>2</v>
      </c>
      <c r="B393" s="282" t="str">
        <f>IFERROR(A393&amp;". "&amp;INDEX('SOP register'!$W:$W,MATCH(CONCATENATE(RIGHT($B$1,7),".",$A393),'SOP register'!$B:$B,0)),"")</f>
        <v>2. Wear covered in shoes and restrain loose hair and secure loose clothing</v>
      </c>
      <c r="C393" s="283"/>
      <c r="D393" s="283"/>
      <c r="E393" s="283"/>
      <c r="F393" s="283"/>
      <c r="G393" s="284"/>
      <c r="I393" t="str">
        <f>IF(IFERROR(INDEX('SOP register'!$W:$W,MATCH(CONCATENATE(RIGHT($B$1,7),".",$A393),'SOP register'!$B:$B,0)),"")="",1,"")</f>
        <v/>
      </c>
    </row>
    <row r="394" spans="1:9" ht="14.45" customHeight="1" x14ac:dyDescent="0.25">
      <c r="A394" s="30">
        <v>3</v>
      </c>
      <c r="B394" s="282" t="str">
        <f>IFERROR(A394&amp;". "&amp;INDEX('SOP register'!$W:$W,MATCH(CONCATENATE(RIGHT($B$1,7),".",$A394),'SOP register'!$B:$B,0)),"")</f>
        <v>3. Put on the P2 mask if proof of immunity to Q Fever is not registered or readily available</v>
      </c>
      <c r="C394" s="283"/>
      <c r="D394" s="283"/>
      <c r="E394" s="283"/>
      <c r="F394" s="283"/>
      <c r="G394" s="284"/>
      <c r="I394" t="str">
        <f>IF(IFERROR(INDEX('SOP register'!$W:$W,MATCH(CONCATENATE(RIGHT($B$1,7),".",$A394),'SOP register'!$B:$B,0)),"")="",1,"")</f>
        <v/>
      </c>
    </row>
    <row r="395" spans="1:9" ht="14.45" hidden="1" customHeight="1" x14ac:dyDescent="0.25">
      <c r="A395" s="30">
        <v>4</v>
      </c>
      <c r="B395" s="289" t="str">
        <f>IFERROR(A395&amp;". "&amp;INDEX('SOP register'!$W:$W,MATCH(CONCATENATE(RIGHT($B$1,7),".",$A395),'SOP register'!$B:$B,0)),"")</f>
        <v xml:space="preserve">4. </v>
      </c>
      <c r="C395" s="289"/>
      <c r="D395" s="289"/>
      <c r="E395" s="289"/>
      <c r="F395" s="289"/>
      <c r="G395" s="289"/>
      <c r="I395">
        <f>IF(IFERROR(INDEX('SOP register'!$W:$W,MATCH(CONCATENATE(RIGHT($B$1,7),".",$A395),'SOP register'!$B:$B,0)),"")="",1,"")</f>
        <v>1</v>
      </c>
    </row>
    <row r="396" spans="1:9" ht="14.45" hidden="1" customHeight="1" x14ac:dyDescent="0.25">
      <c r="A396" s="30">
        <v>5</v>
      </c>
      <c r="B396" s="289" t="str">
        <f>IFERROR(A396&amp;". "&amp;INDEX('SOP register'!$W:$W,MATCH(CONCATENATE(RIGHT($B$1,7),".",$A396),'SOP register'!$B:$B,0)),"")</f>
        <v xml:space="preserve">5. </v>
      </c>
      <c r="C396" s="289"/>
      <c r="D396" s="289"/>
      <c r="E396" s="289"/>
      <c r="F396" s="289"/>
      <c r="G396" s="289"/>
      <c r="I396">
        <f>IF(IFERROR(INDEX('SOP register'!$W:$W,MATCH(CONCATENATE(RIGHT($B$1,7),".",$A396),'SOP register'!$B:$B,0)),"")="",1,"")</f>
        <v>1</v>
      </c>
    </row>
    <row r="397" spans="1:9" ht="14.45" hidden="1" customHeight="1" x14ac:dyDescent="0.25">
      <c r="A397" s="30">
        <v>6</v>
      </c>
      <c r="B397" s="289" t="str">
        <f>IFERROR(A397&amp;". "&amp;INDEX('SOP register'!$W:$W,MATCH(CONCATENATE(RIGHT($B$1,7),".",$A397),'SOP register'!$B:$B,0)),"")</f>
        <v xml:space="preserve">6. </v>
      </c>
      <c r="C397" s="289"/>
      <c r="D397" s="289"/>
      <c r="E397" s="289"/>
      <c r="F397" s="289"/>
      <c r="G397" s="289"/>
      <c r="I397">
        <f>IF(IFERROR(INDEX('SOP register'!$W:$W,MATCH(CONCATENATE(RIGHT($B$1,7),".",$A397),'SOP register'!$B:$B,0)),"")="",1,"")</f>
        <v>1</v>
      </c>
    </row>
    <row r="398" spans="1:9" ht="14.45" hidden="1" customHeight="1" x14ac:dyDescent="0.25">
      <c r="A398" s="30">
        <v>7</v>
      </c>
      <c r="B398" s="289" t="str">
        <f>IFERROR(A398&amp;". "&amp;INDEX('SOP register'!$W:$W,MATCH(CONCATENATE(RIGHT($B$1,7),".",$A398),'SOP register'!$B:$B,0)),"")</f>
        <v xml:space="preserve">7. </v>
      </c>
      <c r="C398" s="289"/>
      <c r="D398" s="289"/>
      <c r="E398" s="289"/>
      <c r="F398" s="289"/>
      <c r="G398" s="289"/>
      <c r="I398">
        <f>IF(IFERROR(INDEX('SOP register'!$W:$W,MATCH(CONCATENATE(RIGHT($B$1,7),".",$A398),'SOP register'!$B:$B,0)),"")="",1,"")</f>
        <v>1</v>
      </c>
    </row>
    <row r="399" spans="1:9" hidden="1" x14ac:dyDescent="0.25">
      <c r="A399" s="30">
        <v>8</v>
      </c>
      <c r="B399" s="289" t="str">
        <f>IFERROR(A399&amp;". "&amp;INDEX('SOP register'!$W:$W,MATCH(CONCATENATE(RIGHT($B$1,7),".",$A399),'SOP register'!$B:$B,0)),"")</f>
        <v xml:space="preserve">8. </v>
      </c>
      <c r="C399" s="289"/>
      <c r="D399" s="289"/>
      <c r="E399" s="289"/>
      <c r="F399" s="289"/>
      <c r="G399" s="289"/>
      <c r="I399">
        <f>IF(IFERROR(INDEX('SOP register'!$W:$W,MATCH(CONCATENATE(RIGHT($B$1,7),".",$A399),'SOP register'!$B:$B,0)),"")="",1,"")</f>
        <v>1</v>
      </c>
    </row>
    <row r="400" spans="1:9" hidden="1" x14ac:dyDescent="0.25">
      <c r="A400" s="30">
        <v>9</v>
      </c>
      <c r="B400" s="289" t="str">
        <f>IFERROR(A400&amp;". "&amp;INDEX('SOP register'!$W:$W,MATCH(CONCATENATE(RIGHT($B$1,7),".",$A400),'SOP register'!$B:$B,0)),"")</f>
        <v xml:space="preserve">9. </v>
      </c>
      <c r="C400" s="289"/>
      <c r="D400" s="289"/>
      <c r="E400" s="289"/>
      <c r="F400" s="289"/>
      <c r="G400" s="289"/>
      <c r="I400">
        <f>IF(IFERROR(INDEX('SOP register'!$W:$W,MATCH(CONCATENATE(RIGHT($B$1,7),".",$A400),'SOP register'!$B:$B,0)),"")="",1,"")</f>
        <v>1</v>
      </c>
    </row>
    <row r="401" spans="1:9" hidden="1" x14ac:dyDescent="0.25">
      <c r="A401" s="30">
        <v>10</v>
      </c>
      <c r="B401" s="289" t="str">
        <f>IFERROR(A401&amp;". "&amp;INDEX('SOP register'!$W:$W,MATCH(CONCATENATE(RIGHT($B$1,7),".",$A401),'SOP register'!$B:$B,0)),"")</f>
        <v xml:space="preserve">10. </v>
      </c>
      <c r="C401" s="289"/>
      <c r="D401" s="289"/>
      <c r="E401" s="289"/>
      <c r="F401" s="289"/>
      <c r="G401" s="289"/>
      <c r="I401">
        <f>IF(IFERROR(INDEX('SOP register'!$W:$W,MATCH(CONCATENATE(RIGHT($B$1,7),".",$A401),'SOP register'!$B:$B,0)),"")="",1,"")</f>
        <v>1</v>
      </c>
    </row>
    <row r="402" spans="1:9" hidden="1" x14ac:dyDescent="0.25">
      <c r="A402" s="30">
        <v>11</v>
      </c>
      <c r="B402" s="289" t="str">
        <f>IFERROR(A402&amp;". "&amp;INDEX('SOP register'!$W:$W,MATCH(CONCATENATE(RIGHT($B$1,7),".",$A402),'SOP register'!$B:$B,0)),"")</f>
        <v xml:space="preserve">11. </v>
      </c>
      <c r="C402" s="289"/>
      <c r="D402" s="289"/>
      <c r="E402" s="289"/>
      <c r="F402" s="289"/>
      <c r="G402" s="289"/>
      <c r="I402">
        <f>IF(IFERROR(INDEX('SOP register'!$W:$W,MATCH(CONCATENATE(RIGHT($B$1,7),".",$A402),'SOP register'!$B:$B,0)),"")="",1,"")</f>
        <v>1</v>
      </c>
    </row>
    <row r="403" spans="1:9" hidden="1" x14ac:dyDescent="0.25">
      <c r="A403" s="30">
        <v>12</v>
      </c>
      <c r="B403" s="289" t="str">
        <f>IFERROR(A403&amp;". "&amp;INDEX('SOP register'!$W:$W,MATCH(CONCATENATE(RIGHT($B$1,7),".",$A403),'SOP register'!$B:$B,0)),"")</f>
        <v xml:space="preserve">12. </v>
      </c>
      <c r="C403" s="289"/>
      <c r="D403" s="289"/>
      <c r="E403" s="289"/>
      <c r="F403" s="289"/>
      <c r="G403" s="289"/>
      <c r="I403">
        <f>IF(IFERROR(INDEX('SOP register'!$W:$W,MATCH(CONCATENATE(RIGHT($B$1,7),".",$A403),'SOP register'!$B:$B,0)),"")="",1,"")</f>
        <v>1</v>
      </c>
    </row>
    <row r="404" spans="1:9" hidden="1" x14ac:dyDescent="0.25">
      <c r="A404" s="30">
        <v>13</v>
      </c>
      <c r="B404" s="289" t="str">
        <f>IFERROR(A404&amp;". "&amp;INDEX('SOP register'!$W:$W,MATCH(CONCATENATE(RIGHT($B$1,7),".",$A404),'SOP register'!$B:$B,0)),"")</f>
        <v xml:space="preserve">13. </v>
      </c>
      <c r="C404" s="289"/>
      <c r="D404" s="289"/>
      <c r="E404" s="289"/>
      <c r="F404" s="289"/>
      <c r="G404" s="289"/>
      <c r="I404">
        <f>IF(IFERROR(INDEX('SOP register'!$W:$W,MATCH(CONCATENATE(RIGHT($B$1,7),".",$A404),'SOP register'!$B:$B,0)),"")="",1,"")</f>
        <v>1</v>
      </c>
    </row>
    <row r="405" spans="1:9" hidden="1" x14ac:dyDescent="0.25">
      <c r="A405" s="30">
        <v>14</v>
      </c>
      <c r="B405" s="289" t="str">
        <f>IFERROR(A405&amp;". "&amp;INDEX('SOP register'!$W:$W,MATCH(CONCATENATE(RIGHT($B$1,7),".",$A405),'SOP register'!$B:$B,0)),"")</f>
        <v xml:space="preserve">14. </v>
      </c>
      <c r="C405" s="289"/>
      <c r="D405" s="289"/>
      <c r="E405" s="289"/>
      <c r="F405" s="289"/>
      <c r="G405" s="289"/>
      <c r="I405">
        <f>IF(IFERROR(INDEX('SOP register'!$W:$W,MATCH(CONCATENATE(RIGHT($B$1,7),".",$A405),'SOP register'!$B:$B,0)),"")="",1,"")</f>
        <v>1</v>
      </c>
    </row>
    <row r="406" spans="1:9" hidden="1" x14ac:dyDescent="0.25">
      <c r="A406" s="30">
        <v>15</v>
      </c>
      <c r="B406" s="289" t="str">
        <f>IFERROR(A406&amp;". "&amp;INDEX('SOP register'!$W:$W,MATCH(CONCATENATE(RIGHT($B$1,7),".",$A406),'SOP register'!$B:$B,0)),"")</f>
        <v xml:space="preserve">15. </v>
      </c>
      <c r="C406" s="289"/>
      <c r="D406" s="289"/>
      <c r="E406" s="289"/>
      <c r="F406" s="289"/>
      <c r="G406" s="289"/>
      <c r="I406">
        <f>IF(IFERROR(INDEX('SOP register'!$W:$W,MATCH(CONCATENATE(RIGHT($B$1,7),".",$A406),'SOP register'!$B:$B,0)),"")="",1,"")</f>
        <v>1</v>
      </c>
    </row>
    <row r="407" spans="1:9" hidden="1" x14ac:dyDescent="0.25">
      <c r="A407" s="30">
        <v>16</v>
      </c>
      <c r="B407" s="289" t="str">
        <f>IFERROR(A407&amp;". "&amp;INDEX('SOP register'!$W:$W,MATCH(CONCATENATE(RIGHT($B$1,7),".",$A407),'SOP register'!$B:$B,0)),"")</f>
        <v xml:space="preserve">16. </v>
      </c>
      <c r="C407" s="289"/>
      <c r="D407" s="289"/>
      <c r="E407" s="289"/>
      <c r="F407" s="289"/>
      <c r="G407" s="289"/>
      <c r="I407">
        <f>IF(IFERROR(INDEX('SOP register'!$W:$W,MATCH(CONCATENATE(RIGHT($B$1,7),".",$A407),'SOP register'!$B:$B,0)),"")="",1,"")</f>
        <v>1</v>
      </c>
    </row>
    <row r="408" spans="1:9" hidden="1" x14ac:dyDescent="0.25">
      <c r="A408" s="30">
        <v>17</v>
      </c>
      <c r="B408" s="289" t="str">
        <f>IFERROR(A408&amp;". "&amp;INDEX('SOP register'!$W:$W,MATCH(CONCATENATE(RIGHT($B$1,7),".",$A408),'SOP register'!$B:$B,0)),"")</f>
        <v xml:space="preserve">17. </v>
      </c>
      <c r="C408" s="289"/>
      <c r="D408" s="289"/>
      <c r="E408" s="289"/>
      <c r="F408" s="289"/>
      <c r="G408" s="289"/>
      <c r="I408">
        <f>IF(IFERROR(INDEX('SOP register'!$W:$W,MATCH(CONCATENATE(RIGHT($B$1,7),".",$A408),'SOP register'!$B:$B,0)),"")="",1,"")</f>
        <v>1</v>
      </c>
    </row>
    <row r="409" spans="1:9" hidden="1" x14ac:dyDescent="0.25">
      <c r="A409" s="30">
        <v>18</v>
      </c>
      <c r="B409" s="289" t="str">
        <f>IFERROR(A409&amp;". "&amp;INDEX('SOP register'!$W:$W,MATCH(CONCATENATE(RIGHT($B$1,7),".",$A409),'SOP register'!$B:$B,0)),"")</f>
        <v xml:space="preserve">18. </v>
      </c>
      <c r="C409" s="289"/>
      <c r="D409" s="289"/>
      <c r="E409" s="289"/>
      <c r="F409" s="289"/>
      <c r="G409" s="289"/>
      <c r="I409">
        <f>IF(IFERROR(INDEX('SOP register'!$W:$W,MATCH(CONCATENATE(RIGHT($B$1,7),".",$A409),'SOP register'!$B:$B,0)),"")="",1,"")</f>
        <v>1</v>
      </c>
    </row>
    <row r="410" spans="1:9" ht="14.45" customHeight="1" x14ac:dyDescent="0.25">
      <c r="A410" s="30"/>
      <c r="B410" s="293" t="s">
        <v>145</v>
      </c>
      <c r="C410" s="293"/>
      <c r="D410" s="293"/>
      <c r="E410" s="293"/>
      <c r="F410" s="293"/>
      <c r="G410" s="293"/>
    </row>
    <row r="411" spans="1:9" ht="14.45" customHeight="1" x14ac:dyDescent="0.25">
      <c r="A411" s="30">
        <v>1</v>
      </c>
      <c r="B411" s="289" t="str">
        <f>IFERROR(A411&amp;". "&amp;INDEX('SOP register'!$X:$X,MATCH(CONCATENATE(RIGHT($B$1,7),".",$A411),'SOP register'!$B:$B,0)),"")</f>
        <v>1. Enter through door and ensure door is secured following entry</v>
      </c>
      <c r="C411" s="289"/>
      <c r="D411" s="289"/>
      <c r="E411" s="289"/>
      <c r="F411" s="289"/>
      <c r="G411" s="289"/>
      <c r="I411" t="str">
        <f>IF(IFERROR(INDEX('SOP register'!$X:$X,MATCH(CONCATENATE(RIGHT($B$1,7),".",$A411),'SOP register'!$B:$B,0)),"")="",1,"")</f>
        <v/>
      </c>
    </row>
    <row r="412" spans="1:9" ht="14.45" customHeight="1" x14ac:dyDescent="0.25">
      <c r="A412" s="30">
        <v>2</v>
      </c>
      <c r="B412" s="289" t="str">
        <f>IFERROR(A412&amp;". "&amp;INDEX('SOP register'!$X:$X,MATCH(CONCATENATE(RIGHT($B$1,7),".",$A412),'SOP register'!$B:$B,0)),"")</f>
        <v>2. Check and proceed only if the extraction system is operating, with the red light on near the soak tank</v>
      </c>
      <c r="C412" s="289"/>
      <c r="D412" s="289"/>
      <c r="E412" s="289"/>
      <c r="F412" s="289"/>
      <c r="G412" s="289"/>
      <c r="I412" t="str">
        <f>IF(IFERROR(INDEX('SOP register'!$X:$X,MATCH(CONCATENATE(RIGHT($B$1,7),".",$A412),'SOP register'!$B:$B,0)),"")="",1,"")</f>
        <v/>
      </c>
    </row>
    <row r="413" spans="1:9" x14ac:dyDescent="0.25">
      <c r="A413" s="30">
        <v>3</v>
      </c>
      <c r="B413" s="289" t="str">
        <f>IFERROR(A413&amp;". "&amp;INDEX('SOP register'!$X:$X,MATCH(CONCATENATE(RIGHT($B$1,7),".",$A413),'SOP register'!$B:$B,0)),"")</f>
        <v>3. Check and proceed only if the freezer temperature reading is less than - 18 degrees C</v>
      </c>
      <c r="C413" s="289"/>
      <c r="D413" s="289"/>
      <c r="E413" s="289"/>
      <c r="F413" s="289"/>
      <c r="G413" s="289"/>
      <c r="I413" t="str">
        <f>IF(IFERROR(INDEX('SOP register'!$X:$X,MATCH(CONCATENATE(RIGHT($B$1,7),".",$A413),'SOP register'!$B:$B,0)),"")="",1,"")</f>
        <v/>
      </c>
    </row>
    <row r="414" spans="1:9" ht="14.45" customHeight="1" x14ac:dyDescent="0.25">
      <c r="A414" s="30">
        <v>4</v>
      </c>
      <c r="B414" s="289" t="str">
        <f>IFERROR(A414&amp;". "&amp;INDEX('SOP register'!$X:$X,MATCH(CONCATENATE(RIGHT($B$1,7),".",$A414),'SOP register'!$B:$B,0)),"")</f>
        <v>4. Store personal items in the storage area, leave all items that cannot be decontaminated in the clean zone.</v>
      </c>
      <c r="C414" s="289"/>
      <c r="D414" s="289"/>
      <c r="E414" s="289"/>
      <c r="F414" s="289"/>
      <c r="G414" s="289"/>
      <c r="I414" t="str">
        <f>IF(IFERROR(INDEX('SOP register'!$X:$X,MATCH(CONCATENATE(RIGHT($B$1,7),".",$A414),'SOP register'!$B:$B,0)),"")="",1,"")</f>
        <v/>
      </c>
    </row>
    <row r="415" spans="1:9" x14ac:dyDescent="0.25">
      <c r="A415" s="30">
        <v>5</v>
      </c>
      <c r="B415" s="289" t="str">
        <f>IFERROR(A415&amp;". "&amp;INDEX('SOP register'!$X:$X,MATCH(CONCATENATE(RIGHT($B$1,7),".",$A415),'SOP register'!$B:$B,0)),"")</f>
        <v>5. Select appropriate size clean laboratory coat and secure</v>
      </c>
      <c r="C415" s="289"/>
      <c r="D415" s="289"/>
      <c r="E415" s="289"/>
      <c r="F415" s="289"/>
      <c r="G415" s="289"/>
      <c r="I415" t="str">
        <f>IF(IFERROR(INDEX('SOP register'!$X:$X,MATCH(CONCATENATE(RIGHT($B$1,7),".",$A415),'SOP register'!$B:$B,0)),"")="",1,"")</f>
        <v/>
      </c>
    </row>
    <row r="416" spans="1:9" x14ac:dyDescent="0.25">
      <c r="A416" s="30">
        <v>6</v>
      </c>
      <c r="B416" s="289" t="str">
        <f>IFERROR(A416&amp;". "&amp;INDEX('SOP register'!$X:$X,MATCH(CONCATENATE(RIGHT($B$1,7),".",$A416),'SOP register'!$B:$B,0)),"")</f>
        <v>6. Put on safety glasses</v>
      </c>
      <c r="C416" s="289"/>
      <c r="D416" s="289"/>
      <c r="E416" s="289"/>
      <c r="F416" s="289"/>
      <c r="G416" s="289"/>
      <c r="I416" t="str">
        <f>IF(IFERROR(INDEX('SOP register'!$X:$X,MATCH(CONCATENATE(RIGHT($B$1,7),".",$A416),'SOP register'!$B:$B,0)),"")="",1,"")</f>
        <v/>
      </c>
    </row>
    <row r="417" spans="1:9" x14ac:dyDescent="0.25">
      <c r="A417" s="30">
        <v>7</v>
      </c>
      <c r="B417" s="289" t="str">
        <f>IFERROR(A417&amp;". "&amp;INDEX('SOP register'!$X:$X,MATCH(CONCATENATE(RIGHT($B$1,7),".",$A417),'SOP register'!$B:$B,0)),"")</f>
        <v>7. Wash hands or use hand sanitizer and put on gloves</v>
      </c>
      <c r="C417" s="289"/>
      <c r="D417" s="289"/>
      <c r="E417" s="289"/>
      <c r="F417" s="289"/>
      <c r="G417" s="289"/>
      <c r="I417" t="str">
        <f>IF(IFERROR(INDEX('SOP register'!$X:$X,MATCH(CONCATENATE(RIGHT($B$1,7),".",$A417),'SOP register'!$B:$B,0)),"")="",1,"")</f>
        <v/>
      </c>
    </row>
    <row r="418" spans="1:9" hidden="1" x14ac:dyDescent="0.25">
      <c r="A418" s="30">
        <v>8</v>
      </c>
      <c r="B418" s="289" t="str">
        <f>IFERROR(A418&amp;". "&amp;INDEX('SOP register'!$X:$X,MATCH(CONCATENATE(RIGHT($B$1,7),".",$A418),'SOP register'!$B:$B,0)),"")</f>
        <v xml:space="preserve">8. </v>
      </c>
      <c r="C418" s="289"/>
      <c r="D418" s="289"/>
      <c r="E418" s="289"/>
      <c r="F418" s="289"/>
      <c r="G418" s="289"/>
      <c r="I418">
        <f>IF(IFERROR(INDEX('SOP register'!$X:$X,MATCH(CONCATENATE(RIGHT($B$1,7),".",$A418),'SOP register'!$B:$B,0)),"")="",1,"")</f>
        <v>1</v>
      </c>
    </row>
    <row r="419" spans="1:9" hidden="1" x14ac:dyDescent="0.25">
      <c r="A419" s="30">
        <v>9</v>
      </c>
      <c r="B419" s="289" t="str">
        <f>IFERROR(A419&amp;". "&amp;INDEX('SOP register'!$X:$X,MATCH(CONCATENATE(RIGHT($B$1,7),".",$A419),'SOP register'!$B:$B,0)),"")</f>
        <v xml:space="preserve">9. </v>
      </c>
      <c r="C419" s="289"/>
      <c r="D419" s="289"/>
      <c r="E419" s="289"/>
      <c r="F419" s="289"/>
      <c r="G419" s="289"/>
      <c r="I419">
        <f>IF(IFERROR(INDEX('SOP register'!$X:$X,MATCH(CONCATENATE(RIGHT($B$1,7),".",$A419),'SOP register'!$B:$B,0)),"")="",1,"")</f>
        <v>1</v>
      </c>
    </row>
    <row r="420" spans="1:9" hidden="1" x14ac:dyDescent="0.25">
      <c r="A420" s="30">
        <v>10</v>
      </c>
      <c r="B420" s="289" t="str">
        <f>IFERROR(A420&amp;". "&amp;INDEX('SOP register'!$X:$X,MATCH(CONCATENATE(RIGHT($B$1,7),".",$A420),'SOP register'!$B:$B,0)),"")</f>
        <v xml:space="preserve">10. </v>
      </c>
      <c r="C420" s="289"/>
      <c r="D420" s="289"/>
      <c r="E420" s="289"/>
      <c r="F420" s="289"/>
      <c r="G420" s="289"/>
      <c r="I420">
        <f>IF(IFERROR(INDEX('SOP register'!$X:$X,MATCH(CONCATENATE(RIGHT($B$1,7),".",$A420),'SOP register'!$B:$B,0)),"")="",1,"")</f>
        <v>1</v>
      </c>
    </row>
    <row r="421" spans="1:9" hidden="1" x14ac:dyDescent="0.25">
      <c r="A421" s="30">
        <v>11</v>
      </c>
      <c r="B421" s="289" t="str">
        <f>IFERROR(A421&amp;". "&amp;INDEX('SOP register'!$X:$X,MATCH(CONCATENATE(RIGHT($B$1,7),".",$A421),'SOP register'!$B:$B,0)),"")</f>
        <v xml:space="preserve">11. </v>
      </c>
      <c r="C421" s="289"/>
      <c r="D421" s="289"/>
      <c r="E421" s="289"/>
      <c r="F421" s="289"/>
      <c r="G421" s="289"/>
      <c r="I421">
        <f>IF(IFERROR(INDEX('SOP register'!$X:$X,MATCH(CONCATENATE(RIGHT($B$1,7),".",$A421),'SOP register'!$B:$B,0)),"")="",1,"")</f>
        <v>1</v>
      </c>
    </row>
    <row r="422" spans="1:9" hidden="1" x14ac:dyDescent="0.25">
      <c r="A422" s="30">
        <v>12</v>
      </c>
      <c r="B422" s="289" t="str">
        <f>IFERROR(A422&amp;". "&amp;INDEX('SOP register'!$X:$X,MATCH(CONCATENATE(RIGHT($B$1,7),".",$A422),'SOP register'!$B:$B,0)),"")</f>
        <v xml:space="preserve">12. </v>
      </c>
      <c r="C422" s="289"/>
      <c r="D422" s="289"/>
      <c r="E422" s="289"/>
      <c r="F422" s="289"/>
      <c r="G422" s="289"/>
      <c r="I422">
        <f>IF(IFERROR(INDEX('SOP register'!$X:$X,MATCH(CONCATENATE(RIGHT($B$1,7),".",$A422),'SOP register'!$B:$B,0)),"")="",1,"")</f>
        <v>1</v>
      </c>
    </row>
    <row r="423" spans="1:9" hidden="1" x14ac:dyDescent="0.25">
      <c r="A423" s="30">
        <v>13</v>
      </c>
      <c r="B423" s="289" t="str">
        <f>IFERROR(A423&amp;". "&amp;INDEX('SOP register'!$X:$X,MATCH(CONCATENATE(RIGHT($B$1,7),".",$A423),'SOP register'!$B:$B,0)),"")</f>
        <v xml:space="preserve">13. </v>
      </c>
      <c r="C423" s="289"/>
      <c r="D423" s="289"/>
      <c r="E423" s="289"/>
      <c r="F423" s="289"/>
      <c r="G423" s="289"/>
      <c r="I423">
        <f>IF(IFERROR(INDEX('SOP register'!$X:$X,MATCH(CONCATENATE(RIGHT($B$1,7),".",$A423),'SOP register'!$B:$B,0)),"")="",1,"")</f>
        <v>1</v>
      </c>
    </row>
    <row r="424" spans="1:9" hidden="1" x14ac:dyDescent="0.25">
      <c r="A424" s="30">
        <v>14</v>
      </c>
      <c r="B424" s="289" t="str">
        <f>IFERROR(A424&amp;". "&amp;INDEX('SOP register'!$X:$X,MATCH(CONCATENATE(RIGHT($B$1,7),".",$A424),'SOP register'!$B:$B,0)),"")</f>
        <v xml:space="preserve">14. </v>
      </c>
      <c r="C424" s="289"/>
      <c r="D424" s="289"/>
      <c r="E424" s="289"/>
      <c r="F424" s="289"/>
      <c r="G424" s="289"/>
      <c r="I424">
        <f>IF(IFERROR(INDEX('SOP register'!$X:$X,MATCH(CONCATENATE(RIGHT($B$1,7),".",$A424),'SOP register'!$B:$B,0)),"")="",1,"")</f>
        <v>1</v>
      </c>
    </row>
    <row r="425" spans="1:9" hidden="1" x14ac:dyDescent="0.25">
      <c r="A425" s="30">
        <v>15</v>
      </c>
      <c r="B425" s="289" t="str">
        <f>IFERROR(A425&amp;". "&amp;INDEX('SOP register'!$X:$X,MATCH(CONCATENATE(RIGHT($B$1,7),".",$A425),'SOP register'!$B:$B,0)),"")</f>
        <v xml:space="preserve">15. </v>
      </c>
      <c r="C425" s="289"/>
      <c r="D425" s="289"/>
      <c r="E425" s="289"/>
      <c r="F425" s="289"/>
      <c r="G425" s="289"/>
      <c r="I425">
        <f>IF(IFERROR(INDEX('SOP register'!$X:$X,MATCH(CONCATENATE(RIGHT($B$1,7),".",$A425),'SOP register'!$B:$B,0)),"")="",1,"")</f>
        <v>1</v>
      </c>
    </row>
    <row r="426" spans="1:9" hidden="1" x14ac:dyDescent="0.25">
      <c r="A426" s="30">
        <v>16</v>
      </c>
      <c r="B426" s="289" t="str">
        <f>IFERROR(A426&amp;". "&amp;INDEX('SOP register'!$X:$X,MATCH(CONCATENATE(RIGHT($B$1,7),".",$A426),'SOP register'!$B:$B,0)),"")</f>
        <v xml:space="preserve">16. </v>
      </c>
      <c r="C426" s="289"/>
      <c r="D426" s="289"/>
      <c r="E426" s="289"/>
      <c r="F426" s="289"/>
      <c r="G426" s="289"/>
      <c r="I426">
        <f>IF(IFERROR(INDEX('SOP register'!$X:$X,MATCH(CONCATENATE(RIGHT($B$1,7),".",$A426),'SOP register'!$B:$B,0)),"")="",1,"")</f>
        <v>1</v>
      </c>
    </row>
    <row r="427" spans="1:9" hidden="1" x14ac:dyDescent="0.25">
      <c r="A427" s="30">
        <v>17</v>
      </c>
      <c r="B427" s="289" t="str">
        <f>IFERROR(A427&amp;". "&amp;INDEX('SOP register'!$X:$X,MATCH(CONCATENATE(RIGHT($B$1,7),".",$A427),'SOP register'!$B:$B,0)),"")</f>
        <v xml:space="preserve">17. </v>
      </c>
      <c r="C427" s="289"/>
      <c r="D427" s="289"/>
      <c r="E427" s="289"/>
      <c r="F427" s="289"/>
      <c r="G427" s="289"/>
      <c r="I427">
        <f>IF(IFERROR(INDEX('SOP register'!$X:$X,MATCH(CONCATENATE(RIGHT($B$1,7),".",$A427),'SOP register'!$B:$B,0)),"")="",1,"")</f>
        <v>1</v>
      </c>
    </row>
    <row r="428" spans="1:9" hidden="1" x14ac:dyDescent="0.25">
      <c r="A428" s="30">
        <v>18</v>
      </c>
      <c r="B428" s="289" t="str">
        <f>IFERROR(A428&amp;". "&amp;INDEX('SOP register'!$X:$X,MATCH(CONCATENATE(RIGHT($B$1,7),".",$A428),'SOP register'!$B:$B,0)),"")</f>
        <v xml:space="preserve">18. </v>
      </c>
      <c r="C428" s="289"/>
      <c r="D428" s="289"/>
      <c r="E428" s="289"/>
      <c r="F428" s="289"/>
      <c r="G428" s="289"/>
      <c r="I428">
        <f>IF(IFERROR(INDEX('SOP register'!$X:$X,MATCH(CONCATENATE(RIGHT($B$1,7),".",$A428),'SOP register'!$B:$B,0)),"")="",1,"")</f>
        <v>1</v>
      </c>
    </row>
    <row r="429" spans="1:9" ht="15.75" x14ac:dyDescent="0.25">
      <c r="A429" s="30"/>
      <c r="B429" s="293" t="s">
        <v>146</v>
      </c>
      <c r="C429" s="293"/>
      <c r="D429" s="293"/>
      <c r="E429" s="293"/>
      <c r="F429" s="293"/>
      <c r="G429" s="293"/>
    </row>
    <row r="430" spans="1:9" ht="14.45" customHeight="1" x14ac:dyDescent="0.25">
      <c r="A430" s="30">
        <v>1</v>
      </c>
      <c r="B430" s="289" t="str">
        <f>IFERROR(A430&amp;". "&amp;INDEX('SOP register'!$Y:$Y,MATCH(CONCATENATE(RIGHT($B$1,7),".",$A430),'SOP register'!$B:$B,0)),"")</f>
        <v>1. Collect equipment and decontaminate according to SOP</v>
      </c>
      <c r="C430" s="289"/>
      <c r="D430" s="289"/>
      <c r="E430" s="289"/>
      <c r="F430" s="289"/>
      <c r="G430" s="289"/>
      <c r="I430" t="str">
        <f>IF(IFERROR(INDEX('SOP register'!$Y:$Y,MATCH(CONCATENATE(RIGHT($B$1,7),".",$A430),'SOP register'!$B:$B,0)),"")="",1,"")</f>
        <v/>
      </c>
    </row>
    <row r="431" spans="1:9" ht="14.45" customHeight="1" x14ac:dyDescent="0.25">
      <c r="A431" s="30">
        <v>2</v>
      </c>
      <c r="B431" s="289" t="str">
        <f>IFERROR(A431&amp;". "&amp;INDEX('SOP register'!$Y:$Y,MATCH(CONCATENATE(RIGHT($B$1,7),".",$A431),'SOP register'!$B:$B,0)),"")</f>
        <v>2. Remove shoe covers if worn and decontaminate the bottom of shoes according to SOP</v>
      </c>
      <c r="C431" s="289"/>
      <c r="D431" s="289"/>
      <c r="E431" s="289"/>
      <c r="F431" s="289"/>
      <c r="G431" s="289"/>
      <c r="I431" t="str">
        <f>IF(IFERROR(INDEX('SOP register'!$Y:$Y,MATCH(CONCATENATE(RIGHT($B$1,7),".",$A431),'SOP register'!$B:$B,0)),"")="",1,"")</f>
        <v/>
      </c>
    </row>
    <row r="432" spans="1:9" ht="14.45" customHeight="1" x14ac:dyDescent="0.25">
      <c r="A432" s="30">
        <v>3</v>
      </c>
      <c r="B432" s="289" t="str">
        <f>IFERROR(A432&amp;". "&amp;INDEX('SOP register'!$Y:$Y,MATCH(CONCATENATE(RIGHT($B$1,7),".",$A432),'SOP register'!$B:$B,0)),"")</f>
        <v>3. Remove laboratory coat and place in laundry container</v>
      </c>
      <c r="C432" s="289"/>
      <c r="D432" s="289"/>
      <c r="E432" s="289"/>
      <c r="F432" s="289"/>
      <c r="G432" s="289"/>
      <c r="I432" t="str">
        <f>IF(IFERROR(INDEX('SOP register'!$Y:$Y,MATCH(CONCATENATE(RIGHT($B$1,7),".",$A432),'SOP register'!$B:$B,0)),"")="",1,"")</f>
        <v/>
      </c>
    </row>
    <row r="433" spans="1:9" ht="14.45" customHeight="1" x14ac:dyDescent="0.25">
      <c r="A433" s="30">
        <v>4</v>
      </c>
      <c r="B433" s="289" t="str">
        <f>IFERROR(A433&amp;". "&amp;INDEX('SOP register'!$Y:$Y,MATCH(CONCATENATE(RIGHT($B$1,7),".",$A433),'SOP register'!$B:$B,0)),"")</f>
        <v>4. Remove gloves and wash hands using antibacterial soap</v>
      </c>
      <c r="C433" s="289"/>
      <c r="D433" s="289"/>
      <c r="E433" s="289"/>
      <c r="F433" s="289"/>
      <c r="G433" s="289"/>
      <c r="I433" t="str">
        <f>IF(IFERROR(INDEX('SOP register'!$Y:$Y,MATCH(CONCATENATE(RIGHT($B$1,7),".",$A433),'SOP register'!$B:$B,0)),"")="",1,"")</f>
        <v/>
      </c>
    </row>
    <row r="434" spans="1:9" ht="14.45" customHeight="1" x14ac:dyDescent="0.25">
      <c r="A434" s="30">
        <v>5</v>
      </c>
      <c r="B434" s="289" t="str">
        <f>IFERROR(A434&amp;". "&amp;INDEX('SOP register'!$Y:$Y,MATCH(CONCATENATE(RIGHT($B$1,7),".",$A434),'SOP register'!$B:$B,0)),"")</f>
        <v>5. Remove safety glasses, clean and put in personal storage receptacle</v>
      </c>
      <c r="C434" s="289"/>
      <c r="D434" s="289"/>
      <c r="E434" s="289"/>
      <c r="F434" s="289"/>
      <c r="G434" s="289"/>
      <c r="I434" t="str">
        <f>IF(IFERROR(INDEX('SOP register'!$Y:$Y,MATCH(CONCATENATE(RIGHT($B$1,7),".",$A434),'SOP register'!$B:$B,0)),"")="",1,"")</f>
        <v/>
      </c>
    </row>
    <row r="435" spans="1:9" ht="14.45" customHeight="1" x14ac:dyDescent="0.25">
      <c r="A435" s="30">
        <v>6</v>
      </c>
      <c r="B435" s="289" t="str">
        <f>IFERROR(A435&amp;". "&amp;INDEX('SOP register'!$Y:$Y,MATCH(CONCATENATE(RIGHT($B$1,7),".",$A435),'SOP register'!$B:$B,0)),"")</f>
        <v>6. Collect personal items from storage area and exit through door</v>
      </c>
      <c r="C435" s="289"/>
      <c r="D435" s="289"/>
      <c r="E435" s="289"/>
      <c r="F435" s="289"/>
      <c r="G435" s="289"/>
      <c r="I435" t="str">
        <f>IF(IFERROR(INDEX('SOP register'!$Y:$Y,MATCH(CONCATENATE(RIGHT($B$1,7),".",$A435),'SOP register'!$B:$B,0)),"")="",1,"")</f>
        <v/>
      </c>
    </row>
    <row r="436" spans="1:9" x14ac:dyDescent="0.25">
      <c r="A436" s="30">
        <v>7</v>
      </c>
      <c r="B436" s="289" t="str">
        <f>IFERROR(A436&amp;". "&amp;INDEX('SOP register'!$Y:$Y,MATCH(CONCATENATE(RIGHT($B$1,7),".",$A436),'SOP register'!$B:$B,0)),"")</f>
        <v>7. Remove face mask and dispose in general waste receptacle and use hand sanitizer</v>
      </c>
      <c r="C436" s="289"/>
      <c r="D436" s="289"/>
      <c r="E436" s="289"/>
      <c r="F436" s="289"/>
      <c r="G436" s="289"/>
      <c r="I436" t="str">
        <f>IF(IFERROR(INDEX('SOP register'!$Y:$Y,MATCH(CONCATENATE(RIGHT($B$1,7),".",$A436),'SOP register'!$B:$B,0)),"")="",1,"")</f>
        <v/>
      </c>
    </row>
    <row r="437" spans="1:9" hidden="1" x14ac:dyDescent="0.25">
      <c r="A437" s="30">
        <v>8</v>
      </c>
      <c r="B437" s="289" t="str">
        <f>IFERROR(A437&amp;". "&amp;INDEX('SOP register'!$Y:$Y,MATCH(CONCATENATE(RIGHT($B$1,7),".",$A437),'SOP register'!$B:$B,0)),"")</f>
        <v xml:space="preserve">8. </v>
      </c>
      <c r="C437" s="289"/>
      <c r="D437" s="289"/>
      <c r="E437" s="289"/>
      <c r="F437" s="289"/>
      <c r="G437" s="289"/>
      <c r="I437">
        <f>IF(IFERROR(INDEX('SOP register'!$Y:$Y,MATCH(CONCATENATE(RIGHT($B$1,7),".",$A437),'SOP register'!$B:$B,0)),"")="",1,"")</f>
        <v>1</v>
      </c>
    </row>
    <row r="438" spans="1:9" hidden="1" x14ac:dyDescent="0.25">
      <c r="A438" s="30">
        <v>9</v>
      </c>
      <c r="B438" s="289" t="str">
        <f>IFERROR(A438&amp;". "&amp;INDEX('SOP register'!$Y:$Y,MATCH(CONCATENATE(RIGHT($B$1,7),".",$A438),'SOP register'!$B:$B,0)),"")</f>
        <v xml:space="preserve">9. </v>
      </c>
      <c r="C438" s="289"/>
      <c r="D438" s="289"/>
      <c r="E438" s="289"/>
      <c r="F438" s="289"/>
      <c r="G438" s="289"/>
      <c r="I438">
        <f>IF(IFERROR(INDEX('SOP register'!$Y:$Y,MATCH(CONCATENATE(RIGHT($B$1,7),".",$A438),'SOP register'!$B:$B,0)),"")="",1,"")</f>
        <v>1</v>
      </c>
    </row>
    <row r="439" spans="1:9" hidden="1" x14ac:dyDescent="0.25">
      <c r="A439" s="30">
        <v>10</v>
      </c>
      <c r="B439" s="289" t="str">
        <f>IFERROR(A439&amp;". "&amp;INDEX('SOP register'!$Y:$Y,MATCH(CONCATENATE(RIGHT($B$1,7),".",$A439),'SOP register'!$B:$B,0)),"")</f>
        <v xml:space="preserve">10. </v>
      </c>
      <c r="C439" s="289"/>
      <c r="D439" s="289"/>
      <c r="E439" s="289"/>
      <c r="F439" s="289"/>
      <c r="G439" s="289"/>
      <c r="I439">
        <f>IF(IFERROR(INDEX('SOP register'!$Y:$Y,MATCH(CONCATENATE(RIGHT($B$1,7),".",$A439),'SOP register'!$B:$B,0)),"")="",1,"")</f>
        <v>1</v>
      </c>
    </row>
    <row r="440" spans="1:9" hidden="1" x14ac:dyDescent="0.25">
      <c r="A440" s="30">
        <v>11</v>
      </c>
      <c r="B440" s="289" t="str">
        <f>IFERROR(A440&amp;". "&amp;INDEX('SOP register'!$Y:$Y,MATCH(CONCATENATE(RIGHT($B$1,7),".",$A440),'SOP register'!$B:$B,0)),"")</f>
        <v xml:space="preserve">11. </v>
      </c>
      <c r="C440" s="289"/>
      <c r="D440" s="289"/>
      <c r="E440" s="289"/>
      <c r="F440" s="289"/>
      <c r="G440" s="289"/>
      <c r="I440">
        <f>IF(IFERROR(INDEX('SOP register'!$Y:$Y,MATCH(CONCATENATE(RIGHT($B$1,7),".",$A440),'SOP register'!$B:$B,0)),"")="",1,"")</f>
        <v>1</v>
      </c>
    </row>
    <row r="441" spans="1:9" hidden="1" x14ac:dyDescent="0.25">
      <c r="A441" s="30">
        <v>12</v>
      </c>
      <c r="B441" s="289" t="str">
        <f>IFERROR(A441&amp;". "&amp;INDEX('SOP register'!$Y:$Y,MATCH(CONCATENATE(RIGHT($B$1,7),".",$A441),'SOP register'!$B:$B,0)),"")</f>
        <v xml:space="preserve">12. </v>
      </c>
      <c r="C441" s="289"/>
      <c r="D441" s="289"/>
      <c r="E441" s="289"/>
      <c r="F441" s="289"/>
      <c r="G441" s="289"/>
      <c r="I441">
        <f>IF(IFERROR(INDEX('SOP register'!$Y:$Y,MATCH(CONCATENATE(RIGHT($B$1,7),".",$A441),'SOP register'!$B:$B,0)),"")="",1,"")</f>
        <v>1</v>
      </c>
    </row>
    <row r="442" spans="1:9" hidden="1" x14ac:dyDescent="0.25">
      <c r="A442" s="30">
        <v>13</v>
      </c>
      <c r="B442" s="289" t="str">
        <f>IFERROR(A442&amp;". "&amp;INDEX('SOP register'!$Y:$Y,MATCH(CONCATENATE(RIGHT($B$1,7),".",$A442),'SOP register'!$B:$B,0)),"")</f>
        <v xml:space="preserve">13. </v>
      </c>
      <c r="C442" s="289"/>
      <c r="D442" s="289"/>
      <c r="E442" s="289"/>
      <c r="F442" s="289"/>
      <c r="G442" s="289"/>
      <c r="I442">
        <f>IF(IFERROR(INDEX('SOP register'!$Y:$Y,MATCH(CONCATENATE(RIGHT($B$1,7),".",$A442),'SOP register'!$B:$B,0)),"")="",1,"")</f>
        <v>1</v>
      </c>
    </row>
    <row r="443" spans="1:9" hidden="1" x14ac:dyDescent="0.25">
      <c r="A443" s="30">
        <v>14</v>
      </c>
      <c r="B443" s="289" t="str">
        <f>IFERROR(A443&amp;". "&amp;INDEX('SOP register'!$Y:$Y,MATCH(CONCATENATE(RIGHT($B$1,7),".",$A443),'SOP register'!$B:$B,0)),"")</f>
        <v xml:space="preserve">14. </v>
      </c>
      <c r="C443" s="289"/>
      <c r="D443" s="289"/>
      <c r="E443" s="289"/>
      <c r="F443" s="289"/>
      <c r="G443" s="289"/>
      <c r="I443">
        <f>IF(IFERROR(INDEX('SOP register'!$Y:$Y,MATCH(CONCATENATE(RIGHT($B$1,7),".",$A443),'SOP register'!$B:$B,0)),"")="",1,"")</f>
        <v>1</v>
      </c>
    </row>
    <row r="444" spans="1:9" hidden="1" x14ac:dyDescent="0.25">
      <c r="A444" s="30">
        <v>15</v>
      </c>
      <c r="B444" s="289" t="str">
        <f>IFERROR(A444&amp;". "&amp;INDEX('SOP register'!$Y:$Y,MATCH(CONCATENATE(RIGHT($B$1,7),".",$A444),'SOP register'!$B:$B,0)),"")</f>
        <v xml:space="preserve">15. </v>
      </c>
      <c r="C444" s="289"/>
      <c r="D444" s="289"/>
      <c r="E444" s="289"/>
      <c r="F444" s="289"/>
      <c r="G444" s="289"/>
      <c r="I444">
        <f>IF(IFERROR(INDEX('SOP register'!$Y:$Y,MATCH(CONCATENATE(RIGHT($B$1,7),".",$A444),'SOP register'!$B:$B,0)),"")="",1,"")</f>
        <v>1</v>
      </c>
    </row>
    <row r="445" spans="1:9" hidden="1" x14ac:dyDescent="0.25">
      <c r="A445" s="30">
        <v>16</v>
      </c>
      <c r="B445" s="289" t="str">
        <f>IFERROR(A445&amp;". "&amp;INDEX('SOP register'!$Y:$Y,MATCH(CONCATENATE(RIGHT($B$1,7),".",$A445),'SOP register'!$B:$B,0)),"")</f>
        <v xml:space="preserve">16. </v>
      </c>
      <c r="C445" s="289"/>
      <c r="D445" s="289"/>
      <c r="E445" s="289"/>
      <c r="F445" s="289"/>
      <c r="G445" s="289"/>
      <c r="I445">
        <f>IF(IFERROR(INDEX('SOP register'!$Y:$Y,MATCH(CONCATENATE(RIGHT($B$1,7),".",$A445),'SOP register'!$B:$B,0)),"")="",1,"")</f>
        <v>1</v>
      </c>
    </row>
    <row r="446" spans="1:9" hidden="1" x14ac:dyDescent="0.25">
      <c r="A446" s="30">
        <v>17</v>
      </c>
      <c r="B446" s="289" t="str">
        <f>IFERROR(A446&amp;". "&amp;INDEX('SOP register'!$Y:$Y,MATCH(CONCATENATE(RIGHT($B$1,7),".",$A446),'SOP register'!$B:$B,0)),"")</f>
        <v xml:space="preserve">17. </v>
      </c>
      <c r="C446" s="289"/>
      <c r="D446" s="289"/>
      <c r="E446" s="289"/>
      <c r="F446" s="289"/>
      <c r="G446" s="289"/>
      <c r="I446">
        <f>IF(IFERROR(INDEX('SOP register'!$Y:$Y,MATCH(CONCATENATE(RIGHT($B$1,7),".",$A446),'SOP register'!$B:$B,0)),"")="",1,"")</f>
        <v>1</v>
      </c>
    </row>
    <row r="447" spans="1:9" hidden="1" x14ac:dyDescent="0.25">
      <c r="A447" s="30">
        <v>18</v>
      </c>
      <c r="B447" s="289" t="str">
        <f>IFERROR(A447&amp;". "&amp;INDEX('SOP register'!$Y:$Y,MATCH(CONCATENATE(RIGHT($B$1,7),".",$A447),'SOP register'!$B:$B,0)),"")</f>
        <v xml:space="preserve">18. </v>
      </c>
      <c r="C447" s="289"/>
      <c r="D447" s="289"/>
      <c r="E447" s="289"/>
      <c r="F447" s="289"/>
      <c r="G447" s="289"/>
      <c r="I447">
        <f>IF(IFERROR(INDEX('SOP register'!$Y:$Y,MATCH(CONCATENATE(RIGHT($B$1,7),".",$A447),'SOP register'!$B:$B,0)),"")="",1,"")</f>
        <v>1</v>
      </c>
    </row>
    <row r="448" spans="1:9" ht="6" customHeight="1" x14ac:dyDescent="0.25">
      <c r="A448" s="30"/>
      <c r="B448" s="310"/>
      <c r="C448" s="311"/>
      <c r="D448" s="311"/>
      <c r="E448" s="311"/>
      <c r="F448" s="311"/>
      <c r="G448" s="312"/>
      <c r="I448" s="212"/>
    </row>
    <row r="449" spans="2:7" ht="22.5" customHeight="1" x14ac:dyDescent="0.3">
      <c r="B449" s="301" t="str">
        <f>"Authorised Operators and Instruction Record - "&amp;D27</f>
        <v>Authorised Operators and Instruction Record - Biological Specimen Preparation Lab</v>
      </c>
      <c r="C449" s="301"/>
      <c r="D449" s="301"/>
      <c r="E449" s="301"/>
      <c r="F449" s="301"/>
      <c r="G449" s="301"/>
    </row>
    <row r="450" spans="2:7" ht="6.6" customHeight="1" x14ac:dyDescent="0.25">
      <c r="B450" s="300"/>
      <c r="C450" s="300"/>
      <c r="D450" s="300"/>
      <c r="E450" s="300"/>
      <c r="F450" s="300"/>
      <c r="G450" s="300"/>
    </row>
    <row r="451" spans="2:7" ht="22.5" customHeight="1" x14ac:dyDescent="0.25">
      <c r="B451" s="303" t="str">
        <f>B27</f>
        <v>ALP.BSP.SOP.001</v>
      </c>
      <c r="C451" s="303"/>
      <c r="D451" s="298" t="str">
        <f>"    "&amp;B28</f>
        <v xml:space="preserve">    Laboratory Entry and Exit</v>
      </c>
      <c r="E451" s="298"/>
      <c r="F451" s="298"/>
      <c r="G451" s="298"/>
    </row>
    <row r="452" spans="2:7" ht="6.6" customHeight="1" x14ac:dyDescent="0.25">
      <c r="B452" s="118"/>
      <c r="C452" s="118"/>
      <c r="D452" s="118"/>
      <c r="E452" s="118"/>
      <c r="F452" s="118"/>
      <c r="G452" s="118"/>
    </row>
    <row r="453" spans="2:7" ht="24.75" customHeight="1" x14ac:dyDescent="0.25">
      <c r="B453" s="125"/>
      <c r="C453" s="126" t="s">
        <v>115</v>
      </c>
      <c r="D453" s="4" t="str">
        <f>D32</f>
        <v>Medium</v>
      </c>
      <c r="E453" s="126" t="s">
        <v>147</v>
      </c>
      <c r="F453" s="4" t="str">
        <f>IFERROR(VLOOKUP(D32,Ref!AD2:AE5,2,0),"2 years")</f>
        <v>2 years</v>
      </c>
      <c r="G453" s="118"/>
    </row>
    <row r="454" spans="2:7" ht="76.349999999999994" customHeight="1" x14ac:dyDescent="0.25">
      <c r="C454" s="302" t="s">
        <v>148</v>
      </c>
      <c r="D454" s="302"/>
      <c r="E454" s="302"/>
      <c r="F454" s="302"/>
      <c r="G454" s="302"/>
    </row>
    <row r="455" spans="2:7" ht="6.6" customHeight="1" x14ac:dyDescent="0.25">
      <c r="B455" s="299"/>
      <c r="C455" s="299"/>
      <c r="D455" s="299"/>
      <c r="E455" s="299"/>
      <c r="F455" s="299"/>
      <c r="G455" s="299"/>
    </row>
    <row r="456" spans="2:7" ht="22.35" customHeight="1" x14ac:dyDescent="0.25">
      <c r="B456" s="304" t="s">
        <v>149</v>
      </c>
      <c r="C456" s="305"/>
      <c r="D456" s="306"/>
      <c r="E456" s="307" t="s">
        <v>150</v>
      </c>
      <c r="F456" s="308"/>
      <c r="G456" s="309"/>
    </row>
    <row r="457" spans="2:7" ht="22.35" customHeight="1" x14ac:dyDescent="0.25">
      <c r="B457" s="3" t="s">
        <v>84</v>
      </c>
      <c r="C457" s="3" t="s">
        <v>151</v>
      </c>
      <c r="D457" s="133" t="s">
        <v>152</v>
      </c>
      <c r="E457" s="193" t="s">
        <v>84</v>
      </c>
      <c r="F457" s="194" t="s">
        <v>151</v>
      </c>
      <c r="G457" s="195" t="s">
        <v>152</v>
      </c>
    </row>
    <row r="458" spans="2:7" ht="27" customHeight="1" x14ac:dyDescent="0.25">
      <c r="B458" s="130"/>
      <c r="C458" s="130"/>
      <c r="D458" s="130"/>
      <c r="E458" s="196"/>
      <c r="F458" s="197"/>
      <c r="G458" s="197"/>
    </row>
    <row r="459" spans="2:7" ht="27" customHeight="1" x14ac:dyDescent="0.25">
      <c r="B459" s="130"/>
      <c r="C459" s="130"/>
      <c r="D459" s="130"/>
      <c r="E459" s="196"/>
      <c r="F459" s="197"/>
      <c r="G459" s="197"/>
    </row>
    <row r="460" spans="2:7" ht="27" customHeight="1" x14ac:dyDescent="0.25">
      <c r="B460" s="130"/>
      <c r="C460" s="130"/>
      <c r="D460" s="130"/>
      <c r="E460" s="196"/>
      <c r="F460" s="197"/>
      <c r="G460" s="197"/>
    </row>
    <row r="461" spans="2:7" ht="27" customHeight="1" x14ac:dyDescent="0.25">
      <c r="B461" s="130"/>
      <c r="C461" s="130"/>
      <c r="D461" s="130"/>
      <c r="E461" s="196"/>
      <c r="F461" s="197"/>
      <c r="G461" s="197"/>
    </row>
    <row r="462" spans="2:7" ht="27" customHeight="1" x14ac:dyDescent="0.25">
      <c r="B462" s="130"/>
      <c r="C462" s="130"/>
      <c r="D462" s="130"/>
      <c r="E462" s="196"/>
      <c r="F462" s="197"/>
      <c r="G462" s="197"/>
    </row>
    <row r="463" spans="2:7" ht="27" customHeight="1" x14ac:dyDescent="0.25">
      <c r="B463" s="130"/>
      <c r="C463" s="130"/>
      <c r="D463" s="130"/>
      <c r="E463" s="196"/>
      <c r="F463" s="197"/>
      <c r="G463" s="197"/>
    </row>
    <row r="464" spans="2:7" ht="27" customHeight="1" x14ac:dyDescent="0.25">
      <c r="B464" s="130"/>
      <c r="C464" s="130"/>
      <c r="D464" s="130"/>
      <c r="E464" s="196"/>
      <c r="F464" s="197"/>
      <c r="G464" s="197"/>
    </row>
    <row r="465" spans="2:7" ht="27" customHeight="1" x14ac:dyDescent="0.25">
      <c r="B465" s="130"/>
      <c r="C465" s="130"/>
      <c r="D465" s="130"/>
      <c r="E465" s="196"/>
      <c r="F465" s="197"/>
      <c r="G465" s="197"/>
    </row>
    <row r="466" spans="2:7" ht="27" customHeight="1" x14ac:dyDescent="0.25">
      <c r="B466" s="130"/>
      <c r="C466" s="130"/>
      <c r="D466" s="130"/>
      <c r="E466" s="196"/>
      <c r="F466" s="197"/>
      <c r="G466" s="197"/>
    </row>
    <row r="467" spans="2:7" ht="27" customHeight="1" x14ac:dyDescent="0.25">
      <c r="B467" s="130"/>
      <c r="C467" s="130"/>
      <c r="D467" s="130"/>
      <c r="E467" s="196"/>
      <c r="F467" s="197"/>
      <c r="G467" s="197"/>
    </row>
    <row r="468" spans="2:7" ht="27" customHeight="1" x14ac:dyDescent="0.25">
      <c r="B468" s="130"/>
      <c r="C468" s="130"/>
      <c r="D468" s="130"/>
      <c r="E468" s="196"/>
      <c r="F468" s="197"/>
      <c r="G468" s="197"/>
    </row>
    <row r="469" spans="2:7" ht="27" customHeight="1" x14ac:dyDescent="0.25">
      <c r="B469" s="130"/>
      <c r="C469" s="130"/>
      <c r="D469" s="130"/>
      <c r="E469" s="196"/>
      <c r="F469" s="197"/>
      <c r="G469" s="197"/>
    </row>
    <row r="470" spans="2:7" ht="27" customHeight="1" x14ac:dyDescent="0.25">
      <c r="B470" s="130"/>
      <c r="C470" s="130"/>
      <c r="D470" s="130"/>
      <c r="E470" s="196"/>
      <c r="F470" s="197"/>
      <c r="G470" s="197"/>
    </row>
    <row r="471" spans="2:7" ht="27" customHeight="1" x14ac:dyDescent="0.25">
      <c r="B471" s="130"/>
      <c r="C471" s="130"/>
      <c r="D471" s="130"/>
      <c r="E471" s="196"/>
      <c r="F471" s="197"/>
      <c r="G471" s="197"/>
    </row>
    <row r="472" spans="2:7" ht="27" customHeight="1" x14ac:dyDescent="0.25">
      <c r="B472" s="130"/>
      <c r="C472" s="130"/>
      <c r="D472" s="130"/>
      <c r="E472" s="196"/>
      <c r="F472" s="197"/>
      <c r="G472" s="197"/>
    </row>
    <row r="473" spans="2:7" ht="27" customHeight="1" x14ac:dyDescent="0.25">
      <c r="B473" s="130"/>
      <c r="C473" s="130"/>
      <c r="D473" s="130"/>
      <c r="E473" s="196"/>
      <c r="F473" s="197"/>
      <c r="G473" s="197"/>
    </row>
    <row r="474" spans="2:7" ht="27" customHeight="1" x14ac:dyDescent="0.25">
      <c r="B474" s="130"/>
      <c r="C474" s="130"/>
      <c r="D474" s="130"/>
      <c r="E474" s="196"/>
      <c r="F474" s="197"/>
      <c r="G474" s="197"/>
    </row>
    <row r="475" spans="2:7" ht="27" customHeight="1" x14ac:dyDescent="0.25">
      <c r="B475" s="130"/>
      <c r="C475" s="130"/>
      <c r="D475" s="130"/>
      <c r="E475" s="196"/>
      <c r="F475" s="197"/>
      <c r="G475" s="197"/>
    </row>
    <row r="476" spans="2:7" ht="27" customHeight="1" x14ac:dyDescent="0.25">
      <c r="B476" s="130"/>
      <c r="C476" s="130"/>
      <c r="D476" s="130"/>
      <c r="E476" s="196"/>
      <c r="F476" s="197"/>
      <c r="G476" s="197"/>
    </row>
    <row r="477" spans="2:7" ht="27" customHeight="1" x14ac:dyDescent="0.25">
      <c r="B477" s="130"/>
      <c r="C477" s="130"/>
      <c r="D477" s="130"/>
      <c r="E477" s="196"/>
      <c r="F477" s="197"/>
      <c r="G477" s="197"/>
    </row>
    <row r="478" spans="2:7" ht="27" customHeight="1" x14ac:dyDescent="0.25">
      <c r="B478" s="130"/>
      <c r="C478" s="130"/>
      <c r="D478" s="130"/>
      <c r="E478" s="196"/>
      <c r="F478" s="197"/>
      <c r="G478" s="197"/>
    </row>
    <row r="480" spans="2:7" x14ac:dyDescent="0.25">
      <c r="B480" s="297" t="s">
        <v>153</v>
      </c>
      <c r="C480" s="297"/>
      <c r="D480" s="297"/>
      <c r="E480" s="297"/>
      <c r="F480" s="297"/>
      <c r="G480" s="297"/>
    </row>
    <row r="481" spans="1:9" ht="15.75" thickBot="1" x14ac:dyDescent="0.3"/>
    <row r="482" spans="1:9" ht="19.5" thickBot="1" x14ac:dyDescent="0.3">
      <c r="B482" s="250" t="s">
        <v>154</v>
      </c>
      <c r="C482" s="251"/>
      <c r="D482" s="252" t="str">
        <f>IFERROR(VLOOKUP(B1,'SOP register'!$K:$L,2,0),"")</f>
        <v>Laboratory Entry and Exit</v>
      </c>
      <c r="E482" s="252"/>
      <c r="F482" s="252"/>
      <c r="G482" s="215"/>
    </row>
    <row r="484" spans="1:9" ht="261" hidden="1" customHeight="1" x14ac:dyDescent="0.25">
      <c r="A484" s="209">
        <v>1.1000000000000001</v>
      </c>
      <c r="B484" s="247"/>
      <c r="C484" s="248"/>
      <c r="D484" s="32"/>
      <c r="E484" s="210"/>
      <c r="F484" s="210"/>
      <c r="G484" s="211"/>
      <c r="I484">
        <f>IFERROR(IF(ISBLANK(B484),1,IF(_xlfn.NUMBERVALUE(RIGHT(B$1,3))=ROUNDDOWN(A484,0),"",1)),"")</f>
        <v>1</v>
      </c>
    </row>
    <row r="485" spans="1:9" ht="261" hidden="1" customHeight="1" x14ac:dyDescent="0.25">
      <c r="A485" s="209">
        <v>1.2</v>
      </c>
      <c r="B485" s="247"/>
      <c r="C485" s="248"/>
      <c r="D485" s="32"/>
      <c r="E485" s="210"/>
      <c r="F485" s="210"/>
      <c r="G485" s="211"/>
      <c r="I485">
        <f t="shared" ref="I485:I548" si="1">IFERROR(IF(ISBLANK(B485),1,IF(_xlfn.NUMBERVALUE(RIGHT(B$1,3))=ROUNDDOWN(A485,0),"",1)),"")</f>
        <v>1</v>
      </c>
    </row>
    <row r="486" spans="1:9" ht="261" hidden="1" customHeight="1" x14ac:dyDescent="0.25">
      <c r="A486" s="209">
        <v>1.3</v>
      </c>
      <c r="B486" s="247"/>
      <c r="C486" s="248"/>
      <c r="D486" s="32"/>
      <c r="E486" s="210"/>
      <c r="F486" s="210"/>
      <c r="G486" s="211"/>
      <c r="I486">
        <f t="shared" si="1"/>
        <v>1</v>
      </c>
    </row>
    <row r="487" spans="1:9" ht="261" hidden="1" customHeight="1" x14ac:dyDescent="0.25">
      <c r="A487" s="209">
        <v>1.4</v>
      </c>
      <c r="B487" s="247"/>
      <c r="C487" s="248"/>
      <c r="D487" s="32"/>
      <c r="E487" s="210"/>
      <c r="F487" s="210"/>
      <c r="G487" s="211"/>
      <c r="I487">
        <f t="shared" si="1"/>
        <v>1</v>
      </c>
    </row>
    <row r="488" spans="1:9" ht="261" hidden="1" customHeight="1" x14ac:dyDescent="0.25">
      <c r="A488" s="209">
        <v>1.5</v>
      </c>
      <c r="B488" s="247"/>
      <c r="C488" s="248"/>
      <c r="D488" s="32"/>
      <c r="E488" s="210"/>
      <c r="F488" s="210"/>
      <c r="G488" s="211"/>
      <c r="I488">
        <f t="shared" si="1"/>
        <v>1</v>
      </c>
    </row>
    <row r="489" spans="1:9" ht="261" hidden="1" customHeight="1" x14ac:dyDescent="0.25">
      <c r="A489" s="209">
        <v>1.6</v>
      </c>
      <c r="B489" s="247"/>
      <c r="C489" s="248"/>
      <c r="D489" s="32"/>
      <c r="E489" s="210"/>
      <c r="F489" s="210"/>
      <c r="G489" s="211"/>
      <c r="I489">
        <f t="shared" si="1"/>
        <v>1</v>
      </c>
    </row>
    <row r="490" spans="1:9" ht="261" hidden="1" customHeight="1" x14ac:dyDescent="0.25">
      <c r="A490" s="209">
        <v>2.1</v>
      </c>
      <c r="B490" s="247"/>
      <c r="C490" s="249"/>
      <c r="D490" s="32"/>
      <c r="E490" s="210"/>
      <c r="F490" s="210"/>
      <c r="G490" s="211"/>
      <c r="I490">
        <f t="shared" si="1"/>
        <v>1</v>
      </c>
    </row>
    <row r="491" spans="1:9" ht="261" hidden="1" customHeight="1" x14ac:dyDescent="0.25">
      <c r="A491" s="209">
        <v>2.2000000000000002</v>
      </c>
      <c r="B491" s="247"/>
      <c r="C491" s="249"/>
      <c r="D491" s="32"/>
      <c r="E491" s="210"/>
      <c r="F491" s="210"/>
      <c r="G491" s="211"/>
      <c r="I491">
        <f t="shared" si="1"/>
        <v>1</v>
      </c>
    </row>
    <row r="492" spans="1:9" ht="261" hidden="1" customHeight="1" x14ac:dyDescent="0.25">
      <c r="A492" s="209">
        <v>2.2999999999999998</v>
      </c>
      <c r="B492" s="247"/>
      <c r="C492" s="248"/>
      <c r="D492" s="32"/>
      <c r="E492" s="210"/>
      <c r="F492" s="210"/>
      <c r="G492" s="211"/>
      <c r="I492">
        <f t="shared" si="1"/>
        <v>1</v>
      </c>
    </row>
    <row r="493" spans="1:9" ht="261" hidden="1" customHeight="1" x14ac:dyDescent="0.25">
      <c r="A493" s="209">
        <v>2.4</v>
      </c>
      <c r="B493" s="247"/>
      <c r="C493" s="248"/>
      <c r="D493" s="32"/>
      <c r="E493" s="210"/>
      <c r="F493" s="210"/>
      <c r="G493" s="211"/>
      <c r="I493">
        <f t="shared" si="1"/>
        <v>1</v>
      </c>
    </row>
    <row r="494" spans="1:9" ht="261" hidden="1" customHeight="1" x14ac:dyDescent="0.25">
      <c r="A494" s="209">
        <v>2.5</v>
      </c>
      <c r="B494" s="247"/>
      <c r="C494" s="249"/>
      <c r="D494" s="32"/>
      <c r="E494" s="210"/>
      <c r="F494" s="210"/>
      <c r="G494" s="211"/>
      <c r="I494">
        <f t="shared" si="1"/>
        <v>1</v>
      </c>
    </row>
    <row r="495" spans="1:9" ht="261" hidden="1" customHeight="1" x14ac:dyDescent="0.25">
      <c r="A495" s="209">
        <v>2.6</v>
      </c>
      <c r="B495" s="247"/>
      <c r="C495" s="249"/>
      <c r="D495" s="32"/>
      <c r="E495" s="210"/>
      <c r="F495" s="210"/>
      <c r="G495" s="211"/>
      <c r="I495">
        <f t="shared" si="1"/>
        <v>1</v>
      </c>
    </row>
    <row r="496" spans="1:9" ht="261" hidden="1" customHeight="1" x14ac:dyDescent="0.25">
      <c r="A496" s="209">
        <f>A490+1</f>
        <v>3.1</v>
      </c>
      <c r="B496" s="247"/>
      <c r="C496" s="249"/>
      <c r="D496" s="32"/>
      <c r="E496" s="210"/>
      <c r="F496" s="210"/>
      <c r="G496" s="211"/>
      <c r="I496">
        <f t="shared" si="1"/>
        <v>1</v>
      </c>
    </row>
    <row r="497" spans="1:9" ht="261" hidden="1" customHeight="1" x14ac:dyDescent="0.25">
      <c r="A497" s="209">
        <f t="shared" ref="A497:A560" si="2">A491+1</f>
        <v>3.2</v>
      </c>
      <c r="B497" s="247"/>
      <c r="C497" s="249"/>
      <c r="D497" s="32"/>
      <c r="E497" s="210"/>
      <c r="F497" s="210"/>
      <c r="G497" s="211"/>
      <c r="I497">
        <f t="shared" si="1"/>
        <v>1</v>
      </c>
    </row>
    <row r="498" spans="1:9" ht="261" hidden="1" customHeight="1" x14ac:dyDescent="0.25">
      <c r="A498" s="209">
        <f t="shared" si="2"/>
        <v>3.3</v>
      </c>
      <c r="B498" s="247"/>
      <c r="C498" s="248"/>
      <c r="D498" s="32"/>
      <c r="E498" s="210"/>
      <c r="F498" s="210"/>
      <c r="G498" s="211"/>
      <c r="I498">
        <f t="shared" si="1"/>
        <v>1</v>
      </c>
    </row>
    <row r="499" spans="1:9" ht="260.25" hidden="1" customHeight="1" x14ac:dyDescent="0.25">
      <c r="A499" s="209">
        <f t="shared" si="2"/>
        <v>3.4</v>
      </c>
      <c r="B499" s="247"/>
      <c r="C499" s="248"/>
      <c r="D499" s="32"/>
      <c r="E499" s="210"/>
      <c r="F499" s="210"/>
      <c r="G499" s="211"/>
      <c r="I499">
        <f t="shared" si="1"/>
        <v>1</v>
      </c>
    </row>
    <row r="500" spans="1:9" ht="260.25" hidden="1" customHeight="1" x14ac:dyDescent="0.25">
      <c r="A500" s="209">
        <f t="shared" si="2"/>
        <v>3.5</v>
      </c>
      <c r="B500" s="247"/>
      <c r="C500" s="248"/>
      <c r="D500" s="32"/>
      <c r="E500" s="210"/>
      <c r="F500" s="210"/>
      <c r="G500" s="211"/>
      <c r="I500">
        <f t="shared" si="1"/>
        <v>1</v>
      </c>
    </row>
    <row r="501" spans="1:9" ht="24" hidden="1" customHeight="1" x14ac:dyDescent="0.25">
      <c r="A501" s="209">
        <f t="shared" si="2"/>
        <v>3.6</v>
      </c>
      <c r="B501" s="245"/>
      <c r="C501" s="246"/>
      <c r="D501" s="32"/>
      <c r="E501" s="210"/>
      <c r="F501" s="210"/>
      <c r="G501" s="211"/>
      <c r="I501">
        <f t="shared" si="1"/>
        <v>1</v>
      </c>
    </row>
    <row r="502" spans="1:9" ht="24" hidden="1" customHeight="1" x14ac:dyDescent="0.25">
      <c r="A502" s="209">
        <f t="shared" si="2"/>
        <v>4.0999999999999996</v>
      </c>
      <c r="B502" s="245"/>
      <c r="C502" s="246"/>
      <c r="D502" s="32"/>
      <c r="E502" s="210"/>
      <c r="F502" s="210"/>
      <c r="G502" s="211"/>
      <c r="I502">
        <f t="shared" si="1"/>
        <v>1</v>
      </c>
    </row>
    <row r="503" spans="1:9" ht="24" hidden="1" customHeight="1" x14ac:dyDescent="0.25">
      <c r="A503" s="209">
        <f t="shared" si="2"/>
        <v>4.2</v>
      </c>
      <c r="B503" s="245"/>
      <c r="C503" s="246"/>
      <c r="D503" s="32"/>
      <c r="E503" s="210"/>
      <c r="F503" s="210"/>
      <c r="G503" s="211"/>
      <c r="I503">
        <f t="shared" si="1"/>
        <v>1</v>
      </c>
    </row>
    <row r="504" spans="1:9" ht="24" hidden="1" customHeight="1" x14ac:dyDescent="0.25">
      <c r="A504" s="209">
        <f t="shared" si="2"/>
        <v>4.3</v>
      </c>
      <c r="B504" s="245"/>
      <c r="C504" s="246"/>
      <c r="D504" s="32"/>
      <c r="E504" s="210"/>
      <c r="F504" s="210"/>
      <c r="G504" s="211"/>
      <c r="I504">
        <f t="shared" si="1"/>
        <v>1</v>
      </c>
    </row>
    <row r="505" spans="1:9" ht="24" hidden="1" customHeight="1" x14ac:dyDescent="0.25">
      <c r="A505" s="209">
        <f t="shared" si="2"/>
        <v>4.4000000000000004</v>
      </c>
      <c r="B505" s="245"/>
      <c r="C505" s="246"/>
      <c r="D505" s="32"/>
      <c r="E505" s="210"/>
      <c r="F505" s="210"/>
      <c r="G505" s="211"/>
      <c r="I505">
        <f t="shared" si="1"/>
        <v>1</v>
      </c>
    </row>
    <row r="506" spans="1:9" ht="24" hidden="1" customHeight="1" x14ac:dyDescent="0.25">
      <c r="A506" s="209">
        <f t="shared" si="2"/>
        <v>4.5</v>
      </c>
      <c r="B506" s="245"/>
      <c r="C506" s="246"/>
      <c r="D506" s="32"/>
      <c r="E506" s="210"/>
      <c r="F506" s="210"/>
      <c r="G506" s="211"/>
      <c r="I506">
        <f t="shared" si="1"/>
        <v>1</v>
      </c>
    </row>
    <row r="507" spans="1:9" ht="24" hidden="1" customHeight="1" x14ac:dyDescent="0.25">
      <c r="A507" s="209">
        <f t="shared" si="2"/>
        <v>4.5999999999999996</v>
      </c>
      <c r="B507" s="245"/>
      <c r="C507" s="246"/>
      <c r="D507" s="32"/>
      <c r="E507" s="210"/>
      <c r="F507" s="210"/>
      <c r="G507" s="211"/>
      <c r="I507">
        <f t="shared" si="1"/>
        <v>1</v>
      </c>
    </row>
    <row r="508" spans="1:9" ht="24" hidden="1" customHeight="1" x14ac:dyDescent="0.25">
      <c r="A508" s="209">
        <f t="shared" si="2"/>
        <v>5.0999999999999996</v>
      </c>
      <c r="B508" s="245"/>
      <c r="C508" s="246"/>
      <c r="D508" s="32"/>
      <c r="E508" s="210"/>
      <c r="F508" s="210"/>
      <c r="G508" s="211"/>
      <c r="I508">
        <f t="shared" si="1"/>
        <v>1</v>
      </c>
    </row>
    <row r="509" spans="1:9" ht="24" hidden="1" customHeight="1" x14ac:dyDescent="0.25">
      <c r="A509" s="209">
        <f t="shared" si="2"/>
        <v>5.2</v>
      </c>
      <c r="B509" s="245"/>
      <c r="C509" s="246"/>
      <c r="D509" s="32"/>
      <c r="E509" s="210"/>
      <c r="F509" s="210"/>
      <c r="G509" s="211"/>
      <c r="I509">
        <f t="shared" si="1"/>
        <v>1</v>
      </c>
    </row>
    <row r="510" spans="1:9" ht="24" hidden="1" customHeight="1" x14ac:dyDescent="0.25">
      <c r="A510" s="209">
        <f t="shared" si="2"/>
        <v>5.3</v>
      </c>
      <c r="B510" s="245"/>
      <c r="C510" s="246"/>
      <c r="D510" s="32"/>
      <c r="E510" s="210"/>
      <c r="F510" s="210"/>
      <c r="G510" s="211"/>
      <c r="I510">
        <f t="shared" si="1"/>
        <v>1</v>
      </c>
    </row>
    <row r="511" spans="1:9" ht="24" hidden="1" customHeight="1" x14ac:dyDescent="0.25">
      <c r="A511" s="209">
        <f t="shared" si="2"/>
        <v>5.4</v>
      </c>
      <c r="B511" s="245"/>
      <c r="C511" s="246"/>
      <c r="D511" s="32"/>
      <c r="E511" s="210"/>
      <c r="F511" s="210"/>
      <c r="G511" s="211"/>
      <c r="I511">
        <f t="shared" si="1"/>
        <v>1</v>
      </c>
    </row>
    <row r="512" spans="1:9" ht="24" hidden="1" customHeight="1" x14ac:dyDescent="0.25">
      <c r="A512" s="209">
        <f t="shared" si="2"/>
        <v>5.5</v>
      </c>
      <c r="B512" s="245"/>
      <c r="C512" s="246"/>
      <c r="D512" s="32"/>
      <c r="E512" s="210"/>
      <c r="F512" s="210"/>
      <c r="G512" s="211"/>
      <c r="I512">
        <f t="shared" si="1"/>
        <v>1</v>
      </c>
    </row>
    <row r="513" spans="1:9" ht="24" hidden="1" customHeight="1" x14ac:dyDescent="0.25">
      <c r="A513" s="209">
        <f t="shared" si="2"/>
        <v>5.6</v>
      </c>
      <c r="B513" s="245"/>
      <c r="C513" s="246"/>
      <c r="D513" s="32"/>
      <c r="E513" s="210"/>
      <c r="F513" s="210"/>
      <c r="G513" s="211"/>
      <c r="I513">
        <f t="shared" si="1"/>
        <v>1</v>
      </c>
    </row>
    <row r="514" spans="1:9" ht="24" hidden="1" customHeight="1" x14ac:dyDescent="0.25">
      <c r="A514" s="209">
        <f t="shared" si="2"/>
        <v>6.1</v>
      </c>
      <c r="B514" s="245"/>
      <c r="C514" s="246"/>
      <c r="D514" s="32"/>
      <c r="E514" s="210"/>
      <c r="F514" s="210"/>
      <c r="G514" s="211"/>
      <c r="I514">
        <f t="shared" si="1"/>
        <v>1</v>
      </c>
    </row>
    <row r="515" spans="1:9" ht="24" hidden="1" customHeight="1" x14ac:dyDescent="0.25">
      <c r="A515" s="209">
        <f t="shared" si="2"/>
        <v>6.2</v>
      </c>
      <c r="B515" s="245"/>
      <c r="C515" s="246"/>
      <c r="D515" s="32"/>
      <c r="E515" s="210"/>
      <c r="F515" s="210"/>
      <c r="G515" s="211"/>
      <c r="I515">
        <f t="shared" si="1"/>
        <v>1</v>
      </c>
    </row>
    <row r="516" spans="1:9" ht="24" hidden="1" customHeight="1" x14ac:dyDescent="0.25">
      <c r="A516" s="209">
        <f t="shared" si="2"/>
        <v>6.3</v>
      </c>
      <c r="B516" s="245"/>
      <c r="C516" s="246"/>
      <c r="D516" s="32"/>
      <c r="E516" s="210"/>
      <c r="F516" s="210"/>
      <c r="G516" s="211"/>
      <c r="I516">
        <f t="shared" si="1"/>
        <v>1</v>
      </c>
    </row>
    <row r="517" spans="1:9" ht="24" hidden="1" customHeight="1" x14ac:dyDescent="0.25">
      <c r="A517" s="209">
        <f t="shared" si="2"/>
        <v>6.4</v>
      </c>
      <c r="B517" s="245"/>
      <c r="C517" s="246"/>
      <c r="D517" s="32"/>
      <c r="E517" s="210"/>
      <c r="F517" s="210"/>
      <c r="G517" s="211"/>
      <c r="I517">
        <f t="shared" si="1"/>
        <v>1</v>
      </c>
    </row>
    <row r="518" spans="1:9" ht="24" hidden="1" customHeight="1" x14ac:dyDescent="0.25">
      <c r="A518" s="209">
        <f t="shared" si="2"/>
        <v>6.5</v>
      </c>
      <c r="B518" s="245"/>
      <c r="C518" s="246"/>
      <c r="D518" s="32"/>
      <c r="E518" s="210"/>
      <c r="F518" s="210"/>
      <c r="G518" s="211"/>
      <c r="I518">
        <f t="shared" si="1"/>
        <v>1</v>
      </c>
    </row>
    <row r="519" spans="1:9" ht="24" hidden="1" customHeight="1" x14ac:dyDescent="0.25">
      <c r="A519" s="209">
        <f t="shared" si="2"/>
        <v>6.6</v>
      </c>
      <c r="B519" s="245"/>
      <c r="C519" s="246"/>
      <c r="D519" s="32"/>
      <c r="E519" s="210"/>
      <c r="F519" s="210"/>
      <c r="G519" s="211"/>
      <c r="I519">
        <f t="shared" si="1"/>
        <v>1</v>
      </c>
    </row>
    <row r="520" spans="1:9" ht="24" hidden="1" customHeight="1" x14ac:dyDescent="0.25">
      <c r="A520" s="209">
        <f t="shared" si="2"/>
        <v>7.1</v>
      </c>
      <c r="B520" s="245"/>
      <c r="C520" s="246"/>
      <c r="D520" s="32"/>
      <c r="E520" s="210"/>
      <c r="F520" s="210"/>
      <c r="G520" s="211"/>
      <c r="I520">
        <f t="shared" si="1"/>
        <v>1</v>
      </c>
    </row>
    <row r="521" spans="1:9" ht="24" hidden="1" customHeight="1" x14ac:dyDescent="0.25">
      <c r="A521" s="209">
        <f t="shared" si="2"/>
        <v>7.2</v>
      </c>
      <c r="B521" s="245"/>
      <c r="C521" s="246"/>
      <c r="D521" s="32"/>
      <c r="E521" s="210"/>
      <c r="F521" s="210"/>
      <c r="G521" s="211"/>
      <c r="I521">
        <f t="shared" si="1"/>
        <v>1</v>
      </c>
    </row>
    <row r="522" spans="1:9" ht="24" hidden="1" customHeight="1" x14ac:dyDescent="0.25">
      <c r="A522" s="209">
        <f t="shared" si="2"/>
        <v>7.3</v>
      </c>
      <c r="B522" s="245"/>
      <c r="C522" s="246"/>
      <c r="D522" s="32"/>
      <c r="E522" s="210"/>
      <c r="F522" s="210"/>
      <c r="G522" s="211"/>
      <c r="I522">
        <f t="shared" si="1"/>
        <v>1</v>
      </c>
    </row>
    <row r="523" spans="1:9" ht="24" hidden="1" customHeight="1" x14ac:dyDescent="0.25">
      <c r="A523" s="209">
        <f t="shared" si="2"/>
        <v>7.4</v>
      </c>
      <c r="B523" s="245"/>
      <c r="C523" s="246"/>
      <c r="D523" s="32"/>
      <c r="E523" s="210"/>
      <c r="F523" s="210"/>
      <c r="G523" s="211"/>
      <c r="I523">
        <f t="shared" si="1"/>
        <v>1</v>
      </c>
    </row>
    <row r="524" spans="1:9" ht="24" hidden="1" customHeight="1" x14ac:dyDescent="0.25">
      <c r="A524" s="209">
        <f t="shared" si="2"/>
        <v>7.5</v>
      </c>
      <c r="B524" s="245"/>
      <c r="C524" s="246"/>
      <c r="D524" s="32"/>
      <c r="E524" s="210"/>
      <c r="F524" s="210"/>
      <c r="G524" s="211"/>
      <c r="I524">
        <f t="shared" si="1"/>
        <v>1</v>
      </c>
    </row>
    <row r="525" spans="1:9" ht="24" hidden="1" customHeight="1" x14ac:dyDescent="0.25">
      <c r="A525" s="209">
        <f t="shared" si="2"/>
        <v>7.6</v>
      </c>
      <c r="B525" s="245"/>
      <c r="C525" s="246"/>
      <c r="D525" s="32"/>
      <c r="E525" s="210"/>
      <c r="F525" s="210"/>
      <c r="G525" s="211"/>
      <c r="I525">
        <f t="shared" si="1"/>
        <v>1</v>
      </c>
    </row>
    <row r="526" spans="1:9" ht="24" hidden="1" customHeight="1" x14ac:dyDescent="0.25">
      <c r="A526" s="209">
        <f t="shared" si="2"/>
        <v>8.1</v>
      </c>
      <c r="B526" s="245"/>
      <c r="C526" s="246"/>
      <c r="D526" s="32"/>
      <c r="E526" s="210"/>
      <c r="F526" s="210"/>
      <c r="G526" s="211"/>
      <c r="I526">
        <f t="shared" si="1"/>
        <v>1</v>
      </c>
    </row>
    <row r="527" spans="1:9" ht="24" hidden="1" customHeight="1" x14ac:dyDescent="0.25">
      <c r="A527" s="209">
        <f t="shared" si="2"/>
        <v>8.1999999999999993</v>
      </c>
      <c r="B527" s="245"/>
      <c r="C527" s="246"/>
      <c r="D527" s="32"/>
      <c r="E527" s="210"/>
      <c r="F527" s="210"/>
      <c r="G527" s="211"/>
      <c r="I527">
        <f t="shared" si="1"/>
        <v>1</v>
      </c>
    </row>
    <row r="528" spans="1:9" ht="24" hidden="1" customHeight="1" x14ac:dyDescent="0.25">
      <c r="A528" s="209">
        <f t="shared" si="2"/>
        <v>8.3000000000000007</v>
      </c>
      <c r="B528" s="245"/>
      <c r="C528" s="246"/>
      <c r="D528" s="32"/>
      <c r="E528" s="210"/>
      <c r="F528" s="210"/>
      <c r="G528" s="211"/>
      <c r="I528">
        <f t="shared" si="1"/>
        <v>1</v>
      </c>
    </row>
    <row r="529" spans="1:9" ht="24" hidden="1" customHeight="1" x14ac:dyDescent="0.25">
      <c r="A529" s="209">
        <f t="shared" si="2"/>
        <v>8.4</v>
      </c>
      <c r="B529" s="245"/>
      <c r="C529" s="246"/>
      <c r="D529" s="32"/>
      <c r="E529" s="210"/>
      <c r="F529" s="210"/>
      <c r="G529" s="211"/>
      <c r="I529">
        <f t="shared" si="1"/>
        <v>1</v>
      </c>
    </row>
    <row r="530" spans="1:9" ht="24" hidden="1" customHeight="1" x14ac:dyDescent="0.25">
      <c r="A530" s="209">
        <f t="shared" si="2"/>
        <v>8.5</v>
      </c>
      <c r="B530" s="245"/>
      <c r="C530" s="246"/>
      <c r="D530" s="32"/>
      <c r="E530" s="210"/>
      <c r="F530" s="210"/>
      <c r="G530" s="211"/>
      <c r="I530">
        <f t="shared" si="1"/>
        <v>1</v>
      </c>
    </row>
    <row r="531" spans="1:9" ht="24" hidden="1" customHeight="1" x14ac:dyDescent="0.25">
      <c r="A531" s="209">
        <f t="shared" si="2"/>
        <v>8.6</v>
      </c>
      <c r="B531" s="245"/>
      <c r="C531" s="246"/>
      <c r="D531" s="32"/>
      <c r="E531" s="210"/>
      <c r="F531" s="210"/>
      <c r="G531" s="211"/>
      <c r="I531">
        <f t="shared" si="1"/>
        <v>1</v>
      </c>
    </row>
    <row r="532" spans="1:9" ht="24" hidden="1" customHeight="1" x14ac:dyDescent="0.25">
      <c r="A532" s="209">
        <f t="shared" si="2"/>
        <v>9.1</v>
      </c>
      <c r="B532" s="245"/>
      <c r="C532" s="246"/>
      <c r="D532" s="32"/>
      <c r="E532" s="210"/>
      <c r="F532" s="210"/>
      <c r="G532" s="211"/>
      <c r="I532">
        <f t="shared" si="1"/>
        <v>1</v>
      </c>
    </row>
    <row r="533" spans="1:9" ht="24" hidden="1" customHeight="1" x14ac:dyDescent="0.25">
      <c r="A533" s="209">
        <f t="shared" si="2"/>
        <v>9.1999999999999993</v>
      </c>
      <c r="B533" s="245"/>
      <c r="C533" s="246"/>
      <c r="D533" s="32"/>
      <c r="E533" s="210"/>
      <c r="F533" s="210"/>
      <c r="G533" s="211"/>
      <c r="I533">
        <f t="shared" si="1"/>
        <v>1</v>
      </c>
    </row>
    <row r="534" spans="1:9" ht="24" hidden="1" customHeight="1" x14ac:dyDescent="0.25">
      <c r="A534" s="209">
        <f t="shared" si="2"/>
        <v>9.3000000000000007</v>
      </c>
      <c r="B534" s="245"/>
      <c r="C534" s="246"/>
      <c r="D534" s="32"/>
      <c r="E534" s="210"/>
      <c r="F534" s="210"/>
      <c r="G534" s="211"/>
      <c r="I534">
        <f t="shared" si="1"/>
        <v>1</v>
      </c>
    </row>
    <row r="535" spans="1:9" ht="24" hidden="1" customHeight="1" x14ac:dyDescent="0.25">
      <c r="A535" s="209">
        <f t="shared" si="2"/>
        <v>9.4</v>
      </c>
      <c r="B535" s="245"/>
      <c r="C535" s="246"/>
      <c r="D535" s="32"/>
      <c r="E535" s="210"/>
      <c r="F535" s="210"/>
      <c r="G535" s="211"/>
      <c r="I535">
        <f t="shared" si="1"/>
        <v>1</v>
      </c>
    </row>
    <row r="536" spans="1:9" ht="24" hidden="1" customHeight="1" x14ac:dyDescent="0.25">
      <c r="A536" s="209">
        <f t="shared" si="2"/>
        <v>9.5</v>
      </c>
      <c r="B536" s="245"/>
      <c r="C536" s="246"/>
      <c r="D536" s="32"/>
      <c r="E536" s="210"/>
      <c r="F536" s="210"/>
      <c r="G536" s="211"/>
      <c r="I536">
        <f t="shared" si="1"/>
        <v>1</v>
      </c>
    </row>
    <row r="537" spans="1:9" ht="24" hidden="1" customHeight="1" x14ac:dyDescent="0.25">
      <c r="A537" s="209">
        <f t="shared" si="2"/>
        <v>9.6</v>
      </c>
      <c r="B537" s="245"/>
      <c r="C537" s="246"/>
      <c r="D537" s="32"/>
      <c r="E537" s="210"/>
      <c r="F537" s="210"/>
      <c r="G537" s="211"/>
      <c r="I537">
        <f t="shared" si="1"/>
        <v>1</v>
      </c>
    </row>
    <row r="538" spans="1:9" ht="24" hidden="1" customHeight="1" x14ac:dyDescent="0.25">
      <c r="A538" s="209">
        <f t="shared" si="2"/>
        <v>10.1</v>
      </c>
      <c r="B538" s="245"/>
      <c r="C538" s="246"/>
      <c r="D538" s="32"/>
      <c r="E538" s="210"/>
      <c r="F538" s="210"/>
      <c r="G538" s="211"/>
      <c r="I538">
        <f t="shared" si="1"/>
        <v>1</v>
      </c>
    </row>
    <row r="539" spans="1:9" ht="24" hidden="1" customHeight="1" x14ac:dyDescent="0.25">
      <c r="A539" s="209">
        <f t="shared" si="2"/>
        <v>10.199999999999999</v>
      </c>
      <c r="B539" s="245"/>
      <c r="C539" s="246"/>
      <c r="D539" s="32"/>
      <c r="E539" s="210"/>
      <c r="F539" s="210"/>
      <c r="G539" s="211"/>
      <c r="I539">
        <f t="shared" si="1"/>
        <v>1</v>
      </c>
    </row>
    <row r="540" spans="1:9" ht="24" hidden="1" customHeight="1" x14ac:dyDescent="0.25">
      <c r="A540" s="209">
        <f t="shared" si="2"/>
        <v>10.3</v>
      </c>
      <c r="B540" s="245"/>
      <c r="C540" s="246"/>
      <c r="D540" s="32"/>
      <c r="E540" s="210"/>
      <c r="F540" s="210"/>
      <c r="G540" s="211"/>
      <c r="I540">
        <f t="shared" si="1"/>
        <v>1</v>
      </c>
    </row>
    <row r="541" spans="1:9" ht="24" hidden="1" customHeight="1" x14ac:dyDescent="0.25">
      <c r="A541" s="209">
        <f t="shared" si="2"/>
        <v>10.4</v>
      </c>
      <c r="B541" s="245"/>
      <c r="C541" s="246"/>
      <c r="D541" s="32"/>
      <c r="E541" s="210"/>
      <c r="F541" s="210"/>
      <c r="G541" s="211"/>
      <c r="I541">
        <f t="shared" si="1"/>
        <v>1</v>
      </c>
    </row>
    <row r="542" spans="1:9" ht="24" hidden="1" customHeight="1" x14ac:dyDescent="0.25">
      <c r="A542" s="209">
        <f t="shared" si="2"/>
        <v>10.5</v>
      </c>
      <c r="B542" s="245"/>
      <c r="C542" s="246"/>
      <c r="D542" s="32"/>
      <c r="E542" s="210"/>
      <c r="F542" s="210"/>
      <c r="G542" s="211"/>
      <c r="I542">
        <f t="shared" si="1"/>
        <v>1</v>
      </c>
    </row>
    <row r="543" spans="1:9" ht="24" hidden="1" customHeight="1" x14ac:dyDescent="0.25">
      <c r="A543" s="209">
        <f t="shared" si="2"/>
        <v>10.6</v>
      </c>
      <c r="B543" s="245"/>
      <c r="C543" s="246"/>
      <c r="D543" s="32"/>
      <c r="E543" s="210"/>
      <c r="F543" s="210"/>
      <c r="G543" s="211"/>
      <c r="I543">
        <f t="shared" si="1"/>
        <v>1</v>
      </c>
    </row>
    <row r="544" spans="1:9" ht="24" hidden="1" customHeight="1" x14ac:dyDescent="0.25">
      <c r="A544" s="209">
        <f t="shared" si="2"/>
        <v>11.1</v>
      </c>
      <c r="B544" s="245"/>
      <c r="C544" s="246"/>
      <c r="D544" s="32"/>
      <c r="E544" s="210"/>
      <c r="F544" s="210"/>
      <c r="G544" s="211"/>
      <c r="I544">
        <f t="shared" si="1"/>
        <v>1</v>
      </c>
    </row>
    <row r="545" spans="1:9" ht="24" hidden="1" customHeight="1" x14ac:dyDescent="0.25">
      <c r="A545" s="209">
        <f t="shared" si="2"/>
        <v>11.2</v>
      </c>
      <c r="B545" s="245"/>
      <c r="C545" s="246"/>
      <c r="D545" s="32"/>
      <c r="E545" s="210"/>
      <c r="F545" s="210"/>
      <c r="G545" s="211"/>
      <c r="I545">
        <f t="shared" si="1"/>
        <v>1</v>
      </c>
    </row>
    <row r="546" spans="1:9" ht="24" hidden="1" customHeight="1" x14ac:dyDescent="0.25">
      <c r="A546" s="209">
        <f t="shared" si="2"/>
        <v>11.3</v>
      </c>
      <c r="B546" s="245"/>
      <c r="C546" s="246"/>
      <c r="D546" s="32"/>
      <c r="E546" s="210"/>
      <c r="F546" s="210"/>
      <c r="G546" s="211"/>
      <c r="I546">
        <f t="shared" si="1"/>
        <v>1</v>
      </c>
    </row>
    <row r="547" spans="1:9" ht="24" hidden="1" customHeight="1" x14ac:dyDescent="0.25">
      <c r="A547" s="209">
        <f t="shared" si="2"/>
        <v>11.4</v>
      </c>
      <c r="B547" s="245"/>
      <c r="C547" s="246"/>
      <c r="D547" s="32"/>
      <c r="E547" s="210"/>
      <c r="F547" s="210"/>
      <c r="G547" s="211"/>
      <c r="I547">
        <f t="shared" si="1"/>
        <v>1</v>
      </c>
    </row>
    <row r="548" spans="1:9" ht="24" hidden="1" customHeight="1" x14ac:dyDescent="0.25">
      <c r="A548" s="209">
        <f t="shared" si="2"/>
        <v>11.5</v>
      </c>
      <c r="B548" s="245"/>
      <c r="C548" s="246"/>
      <c r="D548" s="32"/>
      <c r="E548" s="210"/>
      <c r="F548" s="210"/>
      <c r="G548" s="211"/>
      <c r="I548">
        <f t="shared" si="1"/>
        <v>1</v>
      </c>
    </row>
    <row r="549" spans="1:9" ht="24" hidden="1" customHeight="1" x14ac:dyDescent="0.25">
      <c r="A549" s="209">
        <f t="shared" si="2"/>
        <v>11.6</v>
      </c>
      <c r="B549" s="245"/>
      <c r="C549" s="246"/>
      <c r="D549" s="32"/>
      <c r="E549" s="210"/>
      <c r="F549" s="210"/>
      <c r="G549" s="211"/>
      <c r="I549">
        <f t="shared" ref="I549:I612" si="3">IFERROR(IF(ISBLANK(B549),1,IF(_xlfn.NUMBERVALUE(RIGHT(B$1,3))=ROUNDDOWN(A549,0),"",1)),"")</f>
        <v>1</v>
      </c>
    </row>
    <row r="550" spans="1:9" ht="24" hidden="1" customHeight="1" x14ac:dyDescent="0.25">
      <c r="A550" s="209">
        <f t="shared" si="2"/>
        <v>12.1</v>
      </c>
      <c r="B550" s="245"/>
      <c r="C550" s="246"/>
      <c r="D550" s="32"/>
      <c r="E550" s="210"/>
      <c r="F550" s="210"/>
      <c r="G550" s="211"/>
      <c r="I550">
        <f t="shared" si="3"/>
        <v>1</v>
      </c>
    </row>
    <row r="551" spans="1:9" ht="24" hidden="1" customHeight="1" x14ac:dyDescent="0.25">
      <c r="A551" s="209">
        <f t="shared" si="2"/>
        <v>12.2</v>
      </c>
      <c r="B551" s="245"/>
      <c r="C551" s="246"/>
      <c r="D551" s="32"/>
      <c r="E551" s="210"/>
      <c r="F551" s="210"/>
      <c r="G551" s="211"/>
      <c r="I551">
        <f t="shared" si="3"/>
        <v>1</v>
      </c>
    </row>
    <row r="552" spans="1:9" ht="24" hidden="1" customHeight="1" x14ac:dyDescent="0.25">
      <c r="A552" s="209">
        <f t="shared" si="2"/>
        <v>12.3</v>
      </c>
      <c r="B552" s="245"/>
      <c r="C552" s="246"/>
      <c r="D552" s="32"/>
      <c r="E552" s="210"/>
      <c r="F552" s="210"/>
      <c r="G552" s="211"/>
      <c r="I552">
        <f t="shared" si="3"/>
        <v>1</v>
      </c>
    </row>
    <row r="553" spans="1:9" ht="24" hidden="1" customHeight="1" x14ac:dyDescent="0.25">
      <c r="A553" s="209">
        <f t="shared" si="2"/>
        <v>12.4</v>
      </c>
      <c r="B553" s="245"/>
      <c r="C553" s="246"/>
      <c r="D553" s="32"/>
      <c r="E553" s="210"/>
      <c r="F553" s="210"/>
      <c r="G553" s="211"/>
      <c r="I553">
        <f t="shared" si="3"/>
        <v>1</v>
      </c>
    </row>
    <row r="554" spans="1:9" ht="24" hidden="1" customHeight="1" x14ac:dyDescent="0.25">
      <c r="A554" s="209">
        <f t="shared" si="2"/>
        <v>12.5</v>
      </c>
      <c r="B554" s="245"/>
      <c r="C554" s="246"/>
      <c r="D554" s="32"/>
      <c r="E554" s="210"/>
      <c r="F554" s="210"/>
      <c r="G554" s="211"/>
      <c r="I554">
        <f t="shared" si="3"/>
        <v>1</v>
      </c>
    </row>
    <row r="555" spans="1:9" ht="24" hidden="1" customHeight="1" x14ac:dyDescent="0.25">
      <c r="A555" s="209">
        <f t="shared" si="2"/>
        <v>12.6</v>
      </c>
      <c r="B555" s="245"/>
      <c r="C555" s="246"/>
      <c r="D555" s="32"/>
      <c r="E555" s="210"/>
      <c r="F555" s="210"/>
      <c r="G555" s="211"/>
      <c r="I555">
        <f t="shared" si="3"/>
        <v>1</v>
      </c>
    </row>
    <row r="556" spans="1:9" ht="24" hidden="1" customHeight="1" x14ac:dyDescent="0.25">
      <c r="A556" s="209">
        <f t="shared" si="2"/>
        <v>13.1</v>
      </c>
      <c r="B556" s="245"/>
      <c r="C556" s="246"/>
      <c r="D556" s="32"/>
      <c r="E556" s="210"/>
      <c r="F556" s="210"/>
      <c r="G556" s="211"/>
      <c r="I556">
        <f t="shared" si="3"/>
        <v>1</v>
      </c>
    </row>
    <row r="557" spans="1:9" ht="24" hidden="1" customHeight="1" x14ac:dyDescent="0.25">
      <c r="A557" s="209">
        <f t="shared" si="2"/>
        <v>13.2</v>
      </c>
      <c r="B557" s="245"/>
      <c r="C557" s="246"/>
      <c r="D557" s="32"/>
      <c r="E557" s="210"/>
      <c r="F557" s="210"/>
      <c r="G557" s="211"/>
      <c r="I557">
        <f t="shared" si="3"/>
        <v>1</v>
      </c>
    </row>
    <row r="558" spans="1:9" ht="24" hidden="1" customHeight="1" x14ac:dyDescent="0.25">
      <c r="A558" s="209">
        <f t="shared" si="2"/>
        <v>13.3</v>
      </c>
      <c r="B558" s="245"/>
      <c r="C558" s="246"/>
      <c r="D558" s="32"/>
      <c r="E558" s="210"/>
      <c r="F558" s="210"/>
      <c r="G558" s="211"/>
      <c r="I558">
        <f t="shared" si="3"/>
        <v>1</v>
      </c>
    </row>
    <row r="559" spans="1:9" ht="24" hidden="1" customHeight="1" x14ac:dyDescent="0.25">
      <c r="A559" s="209">
        <f t="shared" si="2"/>
        <v>13.4</v>
      </c>
      <c r="B559" s="245"/>
      <c r="C559" s="246"/>
      <c r="D559" s="32"/>
      <c r="E559" s="210"/>
      <c r="F559" s="210"/>
      <c r="G559" s="211"/>
      <c r="I559">
        <f t="shared" si="3"/>
        <v>1</v>
      </c>
    </row>
    <row r="560" spans="1:9" ht="24" hidden="1" customHeight="1" x14ac:dyDescent="0.25">
      <c r="A560" s="209">
        <f t="shared" si="2"/>
        <v>13.5</v>
      </c>
      <c r="B560" s="245"/>
      <c r="C560" s="246"/>
      <c r="D560" s="32"/>
      <c r="E560" s="210"/>
      <c r="F560" s="210"/>
      <c r="G560" s="211"/>
      <c r="I560">
        <f t="shared" si="3"/>
        <v>1</v>
      </c>
    </row>
    <row r="561" spans="1:9" ht="24" hidden="1" customHeight="1" x14ac:dyDescent="0.25">
      <c r="A561" s="209">
        <f t="shared" ref="A561:A624" si="4">A555+1</f>
        <v>13.6</v>
      </c>
      <c r="B561" s="245"/>
      <c r="C561" s="246"/>
      <c r="D561" s="32"/>
      <c r="E561" s="210"/>
      <c r="F561" s="210"/>
      <c r="G561" s="211"/>
      <c r="I561">
        <f t="shared" si="3"/>
        <v>1</v>
      </c>
    </row>
    <row r="562" spans="1:9" ht="24" hidden="1" customHeight="1" x14ac:dyDescent="0.25">
      <c r="A562" s="209">
        <f t="shared" si="4"/>
        <v>14.1</v>
      </c>
      <c r="B562" s="245"/>
      <c r="C562" s="246"/>
      <c r="D562" s="32"/>
      <c r="E562" s="210"/>
      <c r="F562" s="210"/>
      <c r="G562" s="211"/>
      <c r="I562">
        <f t="shared" si="3"/>
        <v>1</v>
      </c>
    </row>
    <row r="563" spans="1:9" ht="24" hidden="1" customHeight="1" x14ac:dyDescent="0.25">
      <c r="A563" s="209">
        <f t="shared" si="4"/>
        <v>14.2</v>
      </c>
      <c r="B563" s="245"/>
      <c r="C563" s="246"/>
      <c r="D563" s="32"/>
      <c r="E563" s="210"/>
      <c r="F563" s="210"/>
      <c r="G563" s="211"/>
      <c r="I563">
        <f t="shared" si="3"/>
        <v>1</v>
      </c>
    </row>
    <row r="564" spans="1:9" ht="24" hidden="1" customHeight="1" x14ac:dyDescent="0.25">
      <c r="A564" s="209">
        <f t="shared" si="4"/>
        <v>14.3</v>
      </c>
      <c r="B564" s="245"/>
      <c r="C564" s="246"/>
      <c r="D564" s="32"/>
      <c r="E564" s="210"/>
      <c r="F564" s="210"/>
      <c r="G564" s="211"/>
      <c r="I564">
        <f t="shared" si="3"/>
        <v>1</v>
      </c>
    </row>
    <row r="565" spans="1:9" ht="24" hidden="1" customHeight="1" x14ac:dyDescent="0.25">
      <c r="A565" s="209">
        <f t="shared" si="4"/>
        <v>14.4</v>
      </c>
      <c r="B565" s="245"/>
      <c r="C565" s="246"/>
      <c r="D565" s="32"/>
      <c r="E565" s="210"/>
      <c r="F565" s="210"/>
      <c r="G565" s="211"/>
      <c r="I565">
        <f t="shared" si="3"/>
        <v>1</v>
      </c>
    </row>
    <row r="566" spans="1:9" ht="24" hidden="1" customHeight="1" x14ac:dyDescent="0.25">
      <c r="A566" s="209">
        <f t="shared" si="4"/>
        <v>14.5</v>
      </c>
      <c r="B566" s="245"/>
      <c r="C566" s="246"/>
      <c r="D566" s="32"/>
      <c r="E566" s="210"/>
      <c r="F566" s="210"/>
      <c r="G566" s="211"/>
      <c r="I566">
        <f t="shared" si="3"/>
        <v>1</v>
      </c>
    </row>
    <row r="567" spans="1:9" ht="24" hidden="1" customHeight="1" x14ac:dyDescent="0.25">
      <c r="A567" s="209">
        <f t="shared" si="4"/>
        <v>14.6</v>
      </c>
      <c r="B567" s="245"/>
      <c r="C567" s="246"/>
      <c r="D567" s="32"/>
      <c r="E567" s="210"/>
      <c r="F567" s="210"/>
      <c r="G567" s="211"/>
      <c r="I567">
        <f t="shared" si="3"/>
        <v>1</v>
      </c>
    </row>
    <row r="568" spans="1:9" ht="24" hidden="1" customHeight="1" x14ac:dyDescent="0.25">
      <c r="A568" s="209">
        <f t="shared" si="4"/>
        <v>15.1</v>
      </c>
      <c r="B568" s="245"/>
      <c r="C568" s="246"/>
      <c r="D568" s="32"/>
      <c r="E568" s="210"/>
      <c r="F568" s="210"/>
      <c r="G568" s="211"/>
      <c r="I568">
        <f t="shared" si="3"/>
        <v>1</v>
      </c>
    </row>
    <row r="569" spans="1:9" ht="24" hidden="1" customHeight="1" x14ac:dyDescent="0.25">
      <c r="A569" s="209">
        <f t="shared" si="4"/>
        <v>15.2</v>
      </c>
      <c r="B569" s="245"/>
      <c r="C569" s="246"/>
      <c r="D569" s="32"/>
      <c r="E569" s="210"/>
      <c r="F569" s="210"/>
      <c r="G569" s="211"/>
      <c r="I569">
        <f t="shared" si="3"/>
        <v>1</v>
      </c>
    </row>
    <row r="570" spans="1:9" ht="24" hidden="1" customHeight="1" x14ac:dyDescent="0.25">
      <c r="A570" s="209">
        <f t="shared" si="4"/>
        <v>15.3</v>
      </c>
      <c r="B570" s="245"/>
      <c r="C570" s="246"/>
      <c r="D570" s="32"/>
      <c r="E570" s="210"/>
      <c r="F570" s="210"/>
      <c r="G570" s="211"/>
      <c r="I570">
        <f t="shared" si="3"/>
        <v>1</v>
      </c>
    </row>
    <row r="571" spans="1:9" ht="24" hidden="1" customHeight="1" x14ac:dyDescent="0.25">
      <c r="A571" s="209">
        <f t="shared" si="4"/>
        <v>15.4</v>
      </c>
      <c r="B571" s="245"/>
      <c r="C571" s="246"/>
      <c r="D571" s="32"/>
      <c r="E571" s="210"/>
      <c r="F571" s="210"/>
      <c r="G571" s="211"/>
      <c r="I571">
        <f t="shared" si="3"/>
        <v>1</v>
      </c>
    </row>
    <row r="572" spans="1:9" ht="24" hidden="1" customHeight="1" x14ac:dyDescent="0.25">
      <c r="A572" s="209">
        <f t="shared" si="4"/>
        <v>15.5</v>
      </c>
      <c r="B572" s="245"/>
      <c r="C572" s="246"/>
      <c r="D572" s="32"/>
      <c r="E572" s="210"/>
      <c r="F572" s="210"/>
      <c r="G572" s="211"/>
      <c r="I572">
        <f t="shared" si="3"/>
        <v>1</v>
      </c>
    </row>
    <row r="573" spans="1:9" ht="24" hidden="1" customHeight="1" x14ac:dyDescent="0.25">
      <c r="A573" s="209">
        <f t="shared" si="4"/>
        <v>15.6</v>
      </c>
      <c r="B573" s="245"/>
      <c r="C573" s="246"/>
      <c r="D573" s="32"/>
      <c r="E573" s="210"/>
      <c r="F573" s="210"/>
      <c r="G573" s="211"/>
      <c r="I573">
        <f t="shared" si="3"/>
        <v>1</v>
      </c>
    </row>
    <row r="574" spans="1:9" ht="24" hidden="1" customHeight="1" x14ac:dyDescent="0.25">
      <c r="A574" s="209">
        <f t="shared" si="4"/>
        <v>16.100000000000001</v>
      </c>
      <c r="B574" s="245"/>
      <c r="C574" s="246"/>
      <c r="D574" s="32"/>
      <c r="E574" s="210"/>
      <c r="F574" s="210"/>
      <c r="G574" s="211"/>
      <c r="I574">
        <f t="shared" si="3"/>
        <v>1</v>
      </c>
    </row>
    <row r="575" spans="1:9" ht="24" hidden="1" customHeight="1" x14ac:dyDescent="0.25">
      <c r="A575" s="209">
        <f t="shared" si="4"/>
        <v>16.2</v>
      </c>
      <c r="B575" s="245"/>
      <c r="C575" s="246"/>
      <c r="D575" s="32"/>
      <c r="E575" s="210"/>
      <c r="F575" s="210"/>
      <c r="G575" s="211"/>
      <c r="I575">
        <f t="shared" si="3"/>
        <v>1</v>
      </c>
    </row>
    <row r="576" spans="1:9" ht="24" hidden="1" customHeight="1" x14ac:dyDescent="0.25">
      <c r="A576" s="209">
        <f t="shared" si="4"/>
        <v>16.3</v>
      </c>
      <c r="B576" s="245"/>
      <c r="C576" s="246"/>
      <c r="D576" s="32"/>
      <c r="E576" s="210"/>
      <c r="F576" s="210"/>
      <c r="G576" s="211"/>
      <c r="I576">
        <f t="shared" si="3"/>
        <v>1</v>
      </c>
    </row>
    <row r="577" spans="1:9" ht="24" hidden="1" customHeight="1" x14ac:dyDescent="0.25">
      <c r="A577" s="209">
        <f t="shared" si="4"/>
        <v>16.399999999999999</v>
      </c>
      <c r="B577" s="245"/>
      <c r="C577" s="246"/>
      <c r="D577" s="32"/>
      <c r="E577" s="210"/>
      <c r="F577" s="210"/>
      <c r="G577" s="211"/>
      <c r="I577">
        <f t="shared" si="3"/>
        <v>1</v>
      </c>
    </row>
    <row r="578" spans="1:9" ht="24" hidden="1" customHeight="1" x14ac:dyDescent="0.25">
      <c r="A578" s="209">
        <f t="shared" si="4"/>
        <v>16.5</v>
      </c>
      <c r="B578" s="245"/>
      <c r="C578" s="246"/>
      <c r="D578" s="32"/>
      <c r="E578" s="210"/>
      <c r="F578" s="210"/>
      <c r="G578" s="211"/>
      <c r="I578">
        <f t="shared" si="3"/>
        <v>1</v>
      </c>
    </row>
    <row r="579" spans="1:9" ht="24" hidden="1" customHeight="1" x14ac:dyDescent="0.25">
      <c r="A579" s="209">
        <f t="shared" si="4"/>
        <v>16.600000000000001</v>
      </c>
      <c r="B579" s="245"/>
      <c r="C579" s="246"/>
      <c r="D579" s="32"/>
      <c r="E579" s="210"/>
      <c r="F579" s="210"/>
      <c r="G579" s="211"/>
      <c r="I579">
        <f t="shared" si="3"/>
        <v>1</v>
      </c>
    </row>
    <row r="580" spans="1:9" ht="24" hidden="1" customHeight="1" x14ac:dyDescent="0.25">
      <c r="A580" s="209">
        <f t="shared" si="4"/>
        <v>17.100000000000001</v>
      </c>
      <c r="B580" s="245"/>
      <c r="C580" s="246"/>
      <c r="D580" s="32"/>
      <c r="E580" s="210"/>
      <c r="F580" s="210"/>
      <c r="G580" s="211"/>
      <c r="I580">
        <f t="shared" si="3"/>
        <v>1</v>
      </c>
    </row>
    <row r="581" spans="1:9" ht="24" hidden="1" customHeight="1" x14ac:dyDescent="0.25">
      <c r="A581" s="209">
        <f t="shared" si="4"/>
        <v>17.2</v>
      </c>
      <c r="B581" s="245"/>
      <c r="C581" s="246"/>
      <c r="D581" s="32"/>
      <c r="E581" s="210"/>
      <c r="F581" s="210"/>
      <c r="G581" s="211"/>
      <c r="I581">
        <f t="shared" si="3"/>
        <v>1</v>
      </c>
    </row>
    <row r="582" spans="1:9" ht="24" hidden="1" customHeight="1" x14ac:dyDescent="0.25">
      <c r="A582" s="209">
        <f t="shared" si="4"/>
        <v>17.3</v>
      </c>
      <c r="B582" s="245"/>
      <c r="C582" s="246"/>
      <c r="D582" s="32"/>
      <c r="E582" s="210"/>
      <c r="F582" s="210"/>
      <c r="G582" s="211"/>
      <c r="I582">
        <f t="shared" si="3"/>
        <v>1</v>
      </c>
    </row>
    <row r="583" spans="1:9" ht="24" hidden="1" customHeight="1" x14ac:dyDescent="0.25">
      <c r="A583" s="209">
        <f t="shared" si="4"/>
        <v>17.399999999999999</v>
      </c>
      <c r="B583" s="245"/>
      <c r="C583" s="246"/>
      <c r="D583" s="32"/>
      <c r="E583" s="210"/>
      <c r="F583" s="210"/>
      <c r="G583" s="211"/>
      <c r="I583">
        <f t="shared" si="3"/>
        <v>1</v>
      </c>
    </row>
    <row r="584" spans="1:9" ht="24" hidden="1" customHeight="1" x14ac:dyDescent="0.25">
      <c r="A584" s="209">
        <f t="shared" si="4"/>
        <v>17.5</v>
      </c>
      <c r="B584" s="245"/>
      <c r="C584" s="246"/>
      <c r="D584" s="32"/>
      <c r="E584" s="210"/>
      <c r="F584" s="210"/>
      <c r="G584" s="211"/>
      <c r="I584">
        <f t="shared" si="3"/>
        <v>1</v>
      </c>
    </row>
    <row r="585" spans="1:9" ht="24" hidden="1" customHeight="1" x14ac:dyDescent="0.25">
      <c r="A585" s="209">
        <f t="shared" si="4"/>
        <v>17.600000000000001</v>
      </c>
      <c r="B585" s="245"/>
      <c r="C585" s="246"/>
      <c r="D585" s="32"/>
      <c r="E585" s="210"/>
      <c r="F585" s="210"/>
      <c r="G585" s="211"/>
      <c r="I585">
        <f t="shared" si="3"/>
        <v>1</v>
      </c>
    </row>
    <row r="586" spans="1:9" ht="24" hidden="1" customHeight="1" x14ac:dyDescent="0.25">
      <c r="A586" s="209">
        <f t="shared" si="4"/>
        <v>18.100000000000001</v>
      </c>
      <c r="B586" s="245"/>
      <c r="C586" s="246"/>
      <c r="D586" s="32"/>
      <c r="E586" s="210"/>
      <c r="F586" s="210"/>
      <c r="G586" s="211"/>
      <c r="I586">
        <f t="shared" si="3"/>
        <v>1</v>
      </c>
    </row>
    <row r="587" spans="1:9" ht="24" hidden="1" customHeight="1" x14ac:dyDescent="0.25">
      <c r="A587" s="209">
        <f t="shared" si="4"/>
        <v>18.2</v>
      </c>
      <c r="B587" s="245"/>
      <c r="C587" s="246"/>
      <c r="D587" s="32"/>
      <c r="E587" s="210"/>
      <c r="F587" s="210"/>
      <c r="G587" s="211"/>
      <c r="I587">
        <f t="shared" si="3"/>
        <v>1</v>
      </c>
    </row>
    <row r="588" spans="1:9" ht="24" hidden="1" customHeight="1" x14ac:dyDescent="0.25">
      <c r="A588" s="209">
        <f t="shared" si="4"/>
        <v>18.3</v>
      </c>
      <c r="B588" s="245"/>
      <c r="C588" s="246"/>
      <c r="D588" s="32"/>
      <c r="E588" s="210"/>
      <c r="F588" s="210"/>
      <c r="G588" s="211"/>
      <c r="I588">
        <f t="shared" si="3"/>
        <v>1</v>
      </c>
    </row>
    <row r="589" spans="1:9" ht="24" hidden="1" customHeight="1" x14ac:dyDescent="0.25">
      <c r="A589" s="209">
        <f t="shared" si="4"/>
        <v>18.399999999999999</v>
      </c>
      <c r="B589" s="245"/>
      <c r="C589" s="246"/>
      <c r="D589" s="32"/>
      <c r="E589" s="210"/>
      <c r="F589" s="210"/>
      <c r="G589" s="211"/>
      <c r="I589">
        <f t="shared" si="3"/>
        <v>1</v>
      </c>
    </row>
    <row r="590" spans="1:9" ht="24" hidden="1" customHeight="1" x14ac:dyDescent="0.25">
      <c r="A590" s="209">
        <f t="shared" si="4"/>
        <v>18.5</v>
      </c>
      <c r="B590" s="245"/>
      <c r="C590" s="246"/>
      <c r="D590" s="32"/>
      <c r="E590" s="210"/>
      <c r="F590" s="210"/>
      <c r="G590" s="211"/>
      <c r="I590">
        <f t="shared" si="3"/>
        <v>1</v>
      </c>
    </row>
    <row r="591" spans="1:9" ht="24" hidden="1" customHeight="1" x14ac:dyDescent="0.25">
      <c r="A591" s="209">
        <f t="shared" si="4"/>
        <v>18.600000000000001</v>
      </c>
      <c r="B591" s="245"/>
      <c r="C591" s="246"/>
      <c r="D591" s="32"/>
      <c r="E591" s="210"/>
      <c r="F591" s="210"/>
      <c r="G591" s="211"/>
      <c r="I591">
        <f t="shared" si="3"/>
        <v>1</v>
      </c>
    </row>
    <row r="592" spans="1:9" ht="24" hidden="1" customHeight="1" x14ac:dyDescent="0.25">
      <c r="A592" s="209">
        <f t="shared" si="4"/>
        <v>19.100000000000001</v>
      </c>
      <c r="B592" s="245"/>
      <c r="C592" s="246"/>
      <c r="D592" s="32"/>
      <c r="E592" s="210"/>
      <c r="F592" s="210"/>
      <c r="G592" s="211"/>
      <c r="I592">
        <f t="shared" si="3"/>
        <v>1</v>
      </c>
    </row>
    <row r="593" spans="1:9" ht="24" hidden="1" customHeight="1" x14ac:dyDescent="0.25">
      <c r="A593" s="209">
        <f t="shared" si="4"/>
        <v>19.2</v>
      </c>
      <c r="B593" s="245"/>
      <c r="C593" s="246"/>
      <c r="D593" s="32"/>
      <c r="E593" s="210"/>
      <c r="F593" s="210"/>
      <c r="G593" s="211"/>
      <c r="I593">
        <f t="shared" si="3"/>
        <v>1</v>
      </c>
    </row>
    <row r="594" spans="1:9" ht="24" hidden="1" customHeight="1" x14ac:dyDescent="0.25">
      <c r="A594" s="209">
        <f t="shared" si="4"/>
        <v>19.3</v>
      </c>
      <c r="B594" s="245"/>
      <c r="C594" s="246"/>
      <c r="D594" s="32"/>
      <c r="E594" s="210"/>
      <c r="F594" s="210"/>
      <c r="G594" s="211"/>
      <c r="I594">
        <f t="shared" si="3"/>
        <v>1</v>
      </c>
    </row>
    <row r="595" spans="1:9" ht="24" hidden="1" customHeight="1" x14ac:dyDescent="0.25">
      <c r="A595" s="209">
        <f t="shared" si="4"/>
        <v>19.399999999999999</v>
      </c>
      <c r="B595" s="245"/>
      <c r="C595" s="246"/>
      <c r="D595" s="32"/>
      <c r="E595" s="210"/>
      <c r="F595" s="210"/>
      <c r="G595" s="211"/>
      <c r="I595">
        <f t="shared" si="3"/>
        <v>1</v>
      </c>
    </row>
    <row r="596" spans="1:9" ht="24" hidden="1" customHeight="1" x14ac:dyDescent="0.25">
      <c r="A596" s="209">
        <f t="shared" si="4"/>
        <v>19.5</v>
      </c>
      <c r="B596" s="245"/>
      <c r="C596" s="246"/>
      <c r="D596" s="32"/>
      <c r="E596" s="210"/>
      <c r="F596" s="210"/>
      <c r="G596" s="211"/>
      <c r="I596">
        <f t="shared" si="3"/>
        <v>1</v>
      </c>
    </row>
    <row r="597" spans="1:9" ht="24" hidden="1" customHeight="1" x14ac:dyDescent="0.25">
      <c r="A597" s="209">
        <f t="shared" si="4"/>
        <v>19.600000000000001</v>
      </c>
      <c r="B597" s="245"/>
      <c r="C597" s="246"/>
      <c r="D597" s="32"/>
      <c r="E597" s="210"/>
      <c r="F597" s="210"/>
      <c r="G597" s="211"/>
      <c r="I597">
        <f t="shared" si="3"/>
        <v>1</v>
      </c>
    </row>
    <row r="598" spans="1:9" ht="24" hidden="1" customHeight="1" x14ac:dyDescent="0.25">
      <c r="A598" s="209">
        <f t="shared" si="4"/>
        <v>20.100000000000001</v>
      </c>
      <c r="B598" s="245"/>
      <c r="C598" s="246"/>
      <c r="D598" s="32"/>
      <c r="E598" s="210"/>
      <c r="F598" s="210"/>
      <c r="G598" s="211"/>
      <c r="I598">
        <f t="shared" si="3"/>
        <v>1</v>
      </c>
    </row>
    <row r="599" spans="1:9" ht="24" hidden="1" customHeight="1" x14ac:dyDescent="0.25">
      <c r="A599" s="209">
        <f t="shared" si="4"/>
        <v>20.2</v>
      </c>
      <c r="B599" s="245"/>
      <c r="C599" s="246"/>
      <c r="D599" s="32"/>
      <c r="E599" s="210"/>
      <c r="F599" s="210"/>
      <c r="G599" s="211"/>
      <c r="I599">
        <f t="shared" si="3"/>
        <v>1</v>
      </c>
    </row>
    <row r="600" spans="1:9" ht="24" hidden="1" customHeight="1" x14ac:dyDescent="0.25">
      <c r="A600" s="209">
        <f t="shared" si="4"/>
        <v>20.3</v>
      </c>
      <c r="B600" s="245"/>
      <c r="C600" s="246"/>
      <c r="D600" s="32"/>
      <c r="E600" s="210"/>
      <c r="F600" s="210"/>
      <c r="G600" s="211"/>
      <c r="I600">
        <f t="shared" si="3"/>
        <v>1</v>
      </c>
    </row>
    <row r="601" spans="1:9" ht="24" hidden="1" customHeight="1" x14ac:dyDescent="0.25">
      <c r="A601" s="209">
        <f t="shared" si="4"/>
        <v>20.399999999999999</v>
      </c>
      <c r="B601" s="245"/>
      <c r="C601" s="246"/>
      <c r="D601" s="32"/>
      <c r="E601" s="210"/>
      <c r="F601" s="210"/>
      <c r="G601" s="211"/>
      <c r="I601">
        <f t="shared" si="3"/>
        <v>1</v>
      </c>
    </row>
    <row r="602" spans="1:9" ht="24" hidden="1" customHeight="1" x14ac:dyDescent="0.25">
      <c r="A602" s="209">
        <f t="shared" si="4"/>
        <v>20.5</v>
      </c>
      <c r="B602" s="245"/>
      <c r="C602" s="246"/>
      <c r="D602" s="32"/>
      <c r="E602" s="210"/>
      <c r="F602" s="210"/>
      <c r="G602" s="211"/>
      <c r="I602">
        <f t="shared" si="3"/>
        <v>1</v>
      </c>
    </row>
    <row r="603" spans="1:9" ht="24" hidden="1" customHeight="1" x14ac:dyDescent="0.25">
      <c r="A603" s="209">
        <f t="shared" si="4"/>
        <v>20.6</v>
      </c>
      <c r="B603" s="245"/>
      <c r="C603" s="246"/>
      <c r="D603" s="32"/>
      <c r="E603" s="210"/>
      <c r="F603" s="210"/>
      <c r="G603" s="211"/>
      <c r="I603">
        <f t="shared" si="3"/>
        <v>1</v>
      </c>
    </row>
    <row r="604" spans="1:9" ht="24" hidden="1" customHeight="1" x14ac:dyDescent="0.25">
      <c r="A604" s="209">
        <f t="shared" si="4"/>
        <v>21.1</v>
      </c>
      <c r="B604" s="245"/>
      <c r="C604" s="246"/>
      <c r="D604" s="32"/>
      <c r="E604" s="210"/>
      <c r="F604" s="210"/>
      <c r="G604" s="211"/>
      <c r="I604">
        <f t="shared" si="3"/>
        <v>1</v>
      </c>
    </row>
    <row r="605" spans="1:9" ht="24" hidden="1" customHeight="1" x14ac:dyDescent="0.25">
      <c r="A605" s="209">
        <f t="shared" si="4"/>
        <v>21.2</v>
      </c>
      <c r="B605" s="245"/>
      <c r="C605" s="246"/>
      <c r="D605" s="32"/>
      <c r="E605" s="210"/>
      <c r="F605" s="210"/>
      <c r="G605" s="211"/>
      <c r="I605">
        <f t="shared" si="3"/>
        <v>1</v>
      </c>
    </row>
    <row r="606" spans="1:9" ht="24" hidden="1" customHeight="1" x14ac:dyDescent="0.25">
      <c r="A606" s="209">
        <f t="shared" si="4"/>
        <v>21.3</v>
      </c>
      <c r="B606" s="245"/>
      <c r="C606" s="246"/>
      <c r="D606" s="32"/>
      <c r="E606" s="210"/>
      <c r="F606" s="210"/>
      <c r="G606" s="211"/>
      <c r="I606">
        <f t="shared" si="3"/>
        <v>1</v>
      </c>
    </row>
    <row r="607" spans="1:9" ht="24" hidden="1" customHeight="1" x14ac:dyDescent="0.25">
      <c r="A607" s="209">
        <f t="shared" si="4"/>
        <v>21.4</v>
      </c>
      <c r="B607" s="245"/>
      <c r="C607" s="246"/>
      <c r="D607" s="32"/>
      <c r="E607" s="210"/>
      <c r="F607" s="210"/>
      <c r="G607" s="211"/>
      <c r="I607">
        <f t="shared" si="3"/>
        <v>1</v>
      </c>
    </row>
    <row r="608" spans="1:9" ht="24" hidden="1" customHeight="1" x14ac:dyDescent="0.25">
      <c r="A608" s="209">
        <f t="shared" si="4"/>
        <v>21.5</v>
      </c>
      <c r="B608" s="245"/>
      <c r="C608" s="246"/>
      <c r="D608" s="32"/>
      <c r="E608" s="210"/>
      <c r="F608" s="210"/>
      <c r="G608" s="211"/>
      <c r="I608">
        <f t="shared" si="3"/>
        <v>1</v>
      </c>
    </row>
    <row r="609" spans="1:9" ht="24" hidden="1" customHeight="1" x14ac:dyDescent="0.25">
      <c r="A609" s="209">
        <f t="shared" si="4"/>
        <v>21.6</v>
      </c>
      <c r="B609" s="245"/>
      <c r="C609" s="246"/>
      <c r="D609" s="32"/>
      <c r="E609" s="210"/>
      <c r="F609" s="210"/>
      <c r="G609" s="211"/>
      <c r="I609">
        <f t="shared" si="3"/>
        <v>1</v>
      </c>
    </row>
    <row r="610" spans="1:9" ht="24" hidden="1" customHeight="1" x14ac:dyDescent="0.25">
      <c r="A610" s="209">
        <f t="shared" si="4"/>
        <v>22.1</v>
      </c>
      <c r="B610" s="245"/>
      <c r="C610" s="246"/>
      <c r="D610" s="32"/>
      <c r="E610" s="210"/>
      <c r="F610" s="210"/>
      <c r="G610" s="211"/>
      <c r="I610">
        <f t="shared" si="3"/>
        <v>1</v>
      </c>
    </row>
    <row r="611" spans="1:9" ht="24" hidden="1" customHeight="1" x14ac:dyDescent="0.25">
      <c r="A611" s="209">
        <f t="shared" si="4"/>
        <v>22.2</v>
      </c>
      <c r="B611" s="245"/>
      <c r="C611" s="246"/>
      <c r="D611" s="32"/>
      <c r="E611" s="210"/>
      <c r="F611" s="210"/>
      <c r="G611" s="211"/>
      <c r="I611">
        <f t="shared" si="3"/>
        <v>1</v>
      </c>
    </row>
    <row r="612" spans="1:9" ht="24" hidden="1" customHeight="1" x14ac:dyDescent="0.25">
      <c r="A612" s="209">
        <f t="shared" si="4"/>
        <v>22.3</v>
      </c>
      <c r="B612" s="245"/>
      <c r="C612" s="246"/>
      <c r="D612" s="32"/>
      <c r="E612" s="210"/>
      <c r="F612" s="210"/>
      <c r="G612" s="211"/>
      <c r="I612">
        <f t="shared" si="3"/>
        <v>1</v>
      </c>
    </row>
    <row r="613" spans="1:9" ht="24" hidden="1" customHeight="1" x14ac:dyDescent="0.25">
      <c r="A613" s="209">
        <f t="shared" si="4"/>
        <v>22.4</v>
      </c>
      <c r="B613" s="245"/>
      <c r="C613" s="246"/>
      <c r="D613" s="32"/>
      <c r="E613" s="210"/>
      <c r="F613" s="210"/>
      <c r="G613" s="211"/>
      <c r="I613">
        <f t="shared" ref="I613:I663" si="5">IFERROR(IF(ISBLANK(B613),1,IF(_xlfn.NUMBERVALUE(RIGHT(B$1,3))=ROUNDDOWN(A613,0),"",1)),"")</f>
        <v>1</v>
      </c>
    </row>
    <row r="614" spans="1:9" ht="24" hidden="1" customHeight="1" x14ac:dyDescent="0.25">
      <c r="A614" s="209">
        <f t="shared" si="4"/>
        <v>22.5</v>
      </c>
      <c r="B614" s="245"/>
      <c r="C614" s="246"/>
      <c r="D614" s="32"/>
      <c r="E614" s="210"/>
      <c r="F614" s="210"/>
      <c r="G614" s="211"/>
      <c r="I614">
        <f t="shared" si="5"/>
        <v>1</v>
      </c>
    </row>
    <row r="615" spans="1:9" ht="24" hidden="1" customHeight="1" x14ac:dyDescent="0.25">
      <c r="A615" s="209">
        <f t="shared" si="4"/>
        <v>22.6</v>
      </c>
      <c r="B615" s="245"/>
      <c r="C615" s="246"/>
      <c r="D615" s="32"/>
      <c r="E615" s="210"/>
      <c r="F615" s="210"/>
      <c r="G615" s="211"/>
      <c r="I615">
        <f t="shared" si="5"/>
        <v>1</v>
      </c>
    </row>
    <row r="616" spans="1:9" ht="24" hidden="1" customHeight="1" x14ac:dyDescent="0.25">
      <c r="A616" s="209">
        <f t="shared" si="4"/>
        <v>23.1</v>
      </c>
      <c r="B616" s="245"/>
      <c r="C616" s="246"/>
      <c r="D616" s="32"/>
      <c r="E616" s="210"/>
      <c r="F616" s="210"/>
      <c r="G616" s="211"/>
      <c r="I616">
        <f t="shared" si="5"/>
        <v>1</v>
      </c>
    </row>
    <row r="617" spans="1:9" ht="24" hidden="1" customHeight="1" x14ac:dyDescent="0.25">
      <c r="A617" s="209">
        <f t="shared" si="4"/>
        <v>23.2</v>
      </c>
      <c r="B617" s="245"/>
      <c r="C617" s="246"/>
      <c r="D617" s="32"/>
      <c r="E617" s="210"/>
      <c r="F617" s="210"/>
      <c r="G617" s="211"/>
      <c r="I617">
        <f t="shared" si="5"/>
        <v>1</v>
      </c>
    </row>
    <row r="618" spans="1:9" ht="24" hidden="1" customHeight="1" x14ac:dyDescent="0.25">
      <c r="A618" s="209">
        <f t="shared" si="4"/>
        <v>23.3</v>
      </c>
      <c r="B618" s="245"/>
      <c r="C618" s="246"/>
      <c r="D618" s="32"/>
      <c r="E618" s="210"/>
      <c r="F618" s="210"/>
      <c r="G618" s="211"/>
      <c r="I618">
        <f t="shared" si="5"/>
        <v>1</v>
      </c>
    </row>
    <row r="619" spans="1:9" ht="24" hidden="1" customHeight="1" x14ac:dyDescent="0.25">
      <c r="A619" s="209">
        <f t="shared" si="4"/>
        <v>23.4</v>
      </c>
      <c r="B619" s="245"/>
      <c r="C619" s="246"/>
      <c r="D619" s="32"/>
      <c r="E619" s="210"/>
      <c r="F619" s="210"/>
      <c r="G619" s="211"/>
      <c r="I619">
        <f t="shared" si="5"/>
        <v>1</v>
      </c>
    </row>
    <row r="620" spans="1:9" ht="24" hidden="1" customHeight="1" x14ac:dyDescent="0.25">
      <c r="A620" s="209">
        <f t="shared" si="4"/>
        <v>23.5</v>
      </c>
      <c r="B620" s="245"/>
      <c r="C620" s="246"/>
      <c r="D620" s="32"/>
      <c r="E620" s="210"/>
      <c r="F620" s="210"/>
      <c r="G620" s="211"/>
      <c r="I620">
        <f t="shared" si="5"/>
        <v>1</v>
      </c>
    </row>
    <row r="621" spans="1:9" ht="24" hidden="1" customHeight="1" x14ac:dyDescent="0.25">
      <c r="A621" s="209">
        <f t="shared" si="4"/>
        <v>23.6</v>
      </c>
      <c r="B621" s="245"/>
      <c r="C621" s="246"/>
      <c r="D621" s="32"/>
      <c r="E621" s="210"/>
      <c r="F621" s="210"/>
      <c r="G621" s="211"/>
      <c r="I621">
        <f t="shared" si="5"/>
        <v>1</v>
      </c>
    </row>
    <row r="622" spans="1:9" ht="24" hidden="1" customHeight="1" x14ac:dyDescent="0.25">
      <c r="A622" s="209">
        <f t="shared" si="4"/>
        <v>24.1</v>
      </c>
      <c r="B622" s="245"/>
      <c r="C622" s="246"/>
      <c r="D622" s="32"/>
      <c r="E622" s="210"/>
      <c r="F622" s="210"/>
      <c r="G622" s="211"/>
      <c r="I622">
        <f t="shared" si="5"/>
        <v>1</v>
      </c>
    </row>
    <row r="623" spans="1:9" ht="24" hidden="1" customHeight="1" x14ac:dyDescent="0.25">
      <c r="A623" s="209">
        <f t="shared" si="4"/>
        <v>24.2</v>
      </c>
      <c r="B623" s="245"/>
      <c r="C623" s="246"/>
      <c r="D623" s="32"/>
      <c r="E623" s="210"/>
      <c r="F623" s="210"/>
      <c r="G623" s="211"/>
      <c r="I623">
        <f t="shared" si="5"/>
        <v>1</v>
      </c>
    </row>
    <row r="624" spans="1:9" ht="24" hidden="1" customHeight="1" x14ac:dyDescent="0.25">
      <c r="A624" s="209">
        <f t="shared" si="4"/>
        <v>24.3</v>
      </c>
      <c r="B624" s="245"/>
      <c r="C624" s="246"/>
      <c r="D624" s="32"/>
      <c r="E624" s="210"/>
      <c r="F624" s="210"/>
      <c r="G624" s="211"/>
      <c r="I624">
        <f t="shared" si="5"/>
        <v>1</v>
      </c>
    </row>
    <row r="625" spans="1:9" ht="24" hidden="1" customHeight="1" x14ac:dyDescent="0.25">
      <c r="A625" s="209">
        <f t="shared" ref="A625:A663" si="6">A619+1</f>
        <v>24.4</v>
      </c>
      <c r="B625" s="245"/>
      <c r="C625" s="246"/>
      <c r="D625" s="32"/>
      <c r="E625" s="210"/>
      <c r="F625" s="210"/>
      <c r="G625" s="211"/>
      <c r="I625">
        <f t="shared" si="5"/>
        <v>1</v>
      </c>
    </row>
    <row r="626" spans="1:9" ht="24" hidden="1" customHeight="1" x14ac:dyDescent="0.25">
      <c r="A626" s="209">
        <f t="shared" si="6"/>
        <v>24.5</v>
      </c>
      <c r="B626" s="245"/>
      <c r="C626" s="246"/>
      <c r="D626" s="32"/>
      <c r="E626" s="210"/>
      <c r="F626" s="210"/>
      <c r="G626" s="211"/>
      <c r="I626">
        <f t="shared" si="5"/>
        <v>1</v>
      </c>
    </row>
    <row r="627" spans="1:9" ht="24" hidden="1" customHeight="1" x14ac:dyDescent="0.25">
      <c r="A627" s="209">
        <f t="shared" si="6"/>
        <v>24.6</v>
      </c>
      <c r="B627" s="245"/>
      <c r="C627" s="246"/>
      <c r="D627" s="32"/>
      <c r="E627" s="210"/>
      <c r="F627" s="210"/>
      <c r="G627" s="211"/>
      <c r="I627">
        <f t="shared" si="5"/>
        <v>1</v>
      </c>
    </row>
    <row r="628" spans="1:9" ht="24" hidden="1" customHeight="1" x14ac:dyDescent="0.25">
      <c r="A628" s="209">
        <f t="shared" si="6"/>
        <v>25.1</v>
      </c>
      <c r="B628" s="245"/>
      <c r="C628" s="246"/>
      <c r="D628" s="32"/>
      <c r="E628" s="210"/>
      <c r="F628" s="210"/>
      <c r="G628" s="211"/>
      <c r="I628">
        <f t="shared" si="5"/>
        <v>1</v>
      </c>
    </row>
    <row r="629" spans="1:9" ht="24" hidden="1" customHeight="1" x14ac:dyDescent="0.25">
      <c r="A629" s="209">
        <f t="shared" si="6"/>
        <v>25.2</v>
      </c>
      <c r="B629" s="245"/>
      <c r="C629" s="246"/>
      <c r="D629" s="32"/>
      <c r="E629" s="210"/>
      <c r="F629" s="210"/>
      <c r="G629" s="211"/>
      <c r="I629">
        <f t="shared" si="5"/>
        <v>1</v>
      </c>
    </row>
    <row r="630" spans="1:9" ht="24" hidden="1" customHeight="1" x14ac:dyDescent="0.25">
      <c r="A630" s="209">
        <f t="shared" si="6"/>
        <v>25.3</v>
      </c>
      <c r="B630" s="245"/>
      <c r="C630" s="246"/>
      <c r="D630" s="32"/>
      <c r="E630" s="210"/>
      <c r="F630" s="210"/>
      <c r="G630" s="211"/>
      <c r="I630">
        <f t="shared" si="5"/>
        <v>1</v>
      </c>
    </row>
    <row r="631" spans="1:9" ht="24" hidden="1" customHeight="1" x14ac:dyDescent="0.25">
      <c r="A631" s="209">
        <f t="shared" si="6"/>
        <v>25.4</v>
      </c>
      <c r="B631" s="245"/>
      <c r="C631" s="246"/>
      <c r="D631" s="32"/>
      <c r="E631" s="210"/>
      <c r="F631" s="210"/>
      <c r="G631" s="211"/>
      <c r="I631">
        <f t="shared" si="5"/>
        <v>1</v>
      </c>
    </row>
    <row r="632" spans="1:9" ht="24" hidden="1" customHeight="1" x14ac:dyDescent="0.25">
      <c r="A632" s="209">
        <f t="shared" si="6"/>
        <v>25.5</v>
      </c>
      <c r="B632" s="245"/>
      <c r="C632" s="246"/>
      <c r="D632" s="32"/>
      <c r="E632" s="210"/>
      <c r="F632" s="210"/>
      <c r="G632" s="211"/>
      <c r="I632">
        <f t="shared" si="5"/>
        <v>1</v>
      </c>
    </row>
    <row r="633" spans="1:9" ht="24" hidden="1" customHeight="1" x14ac:dyDescent="0.25">
      <c r="A633" s="209">
        <f t="shared" si="6"/>
        <v>25.6</v>
      </c>
      <c r="B633" s="245"/>
      <c r="C633" s="246"/>
      <c r="D633" s="32"/>
      <c r="E633" s="210"/>
      <c r="F633" s="210"/>
      <c r="G633" s="211"/>
      <c r="I633">
        <f t="shared" si="5"/>
        <v>1</v>
      </c>
    </row>
    <row r="634" spans="1:9" ht="24" hidden="1" customHeight="1" x14ac:dyDescent="0.25">
      <c r="A634" s="209">
        <f t="shared" si="6"/>
        <v>26.1</v>
      </c>
      <c r="B634" s="245"/>
      <c r="C634" s="246"/>
      <c r="D634" s="32"/>
      <c r="E634" s="210"/>
      <c r="F634" s="210"/>
      <c r="G634" s="211"/>
      <c r="I634">
        <f t="shared" si="5"/>
        <v>1</v>
      </c>
    </row>
    <row r="635" spans="1:9" ht="24" hidden="1" customHeight="1" x14ac:dyDescent="0.25">
      <c r="A635" s="209">
        <f t="shared" si="6"/>
        <v>26.2</v>
      </c>
      <c r="B635" s="245"/>
      <c r="C635" s="246"/>
      <c r="D635" s="32"/>
      <c r="E635" s="210"/>
      <c r="F635" s="210"/>
      <c r="G635" s="211"/>
      <c r="I635">
        <f t="shared" si="5"/>
        <v>1</v>
      </c>
    </row>
    <row r="636" spans="1:9" ht="24" hidden="1" customHeight="1" x14ac:dyDescent="0.25">
      <c r="A636" s="209">
        <f t="shared" si="6"/>
        <v>26.3</v>
      </c>
      <c r="B636" s="245"/>
      <c r="C636" s="246"/>
      <c r="D636" s="32"/>
      <c r="E636" s="210"/>
      <c r="F636" s="210"/>
      <c r="G636" s="211"/>
      <c r="I636">
        <f t="shared" si="5"/>
        <v>1</v>
      </c>
    </row>
    <row r="637" spans="1:9" ht="24" hidden="1" customHeight="1" x14ac:dyDescent="0.25">
      <c r="A637" s="209">
        <f t="shared" si="6"/>
        <v>26.4</v>
      </c>
      <c r="B637" s="245"/>
      <c r="C637" s="246"/>
      <c r="D637" s="32"/>
      <c r="E637" s="210"/>
      <c r="F637" s="210"/>
      <c r="G637" s="211"/>
      <c r="I637">
        <f t="shared" si="5"/>
        <v>1</v>
      </c>
    </row>
    <row r="638" spans="1:9" ht="24" hidden="1" customHeight="1" x14ac:dyDescent="0.25">
      <c r="A638" s="209">
        <f t="shared" si="6"/>
        <v>26.5</v>
      </c>
      <c r="B638" s="245"/>
      <c r="C638" s="246"/>
      <c r="D638" s="32"/>
      <c r="E638" s="210"/>
      <c r="F638" s="210"/>
      <c r="G638" s="211"/>
      <c r="I638">
        <f t="shared" si="5"/>
        <v>1</v>
      </c>
    </row>
    <row r="639" spans="1:9" ht="24" hidden="1" customHeight="1" x14ac:dyDescent="0.25">
      <c r="A639" s="209">
        <f t="shared" si="6"/>
        <v>26.6</v>
      </c>
      <c r="B639" s="245"/>
      <c r="C639" s="246"/>
      <c r="D639" s="32"/>
      <c r="E639" s="210"/>
      <c r="F639" s="210"/>
      <c r="G639" s="211"/>
      <c r="I639">
        <f t="shared" si="5"/>
        <v>1</v>
      </c>
    </row>
    <row r="640" spans="1:9" ht="24" hidden="1" customHeight="1" x14ac:dyDescent="0.25">
      <c r="A640" s="209">
        <f t="shared" si="6"/>
        <v>27.1</v>
      </c>
      <c r="B640" s="245"/>
      <c r="C640" s="246"/>
      <c r="D640" s="32"/>
      <c r="E640" s="210"/>
      <c r="F640" s="210"/>
      <c r="G640" s="211"/>
      <c r="I640">
        <f t="shared" si="5"/>
        <v>1</v>
      </c>
    </row>
    <row r="641" spans="1:9" ht="24" hidden="1" customHeight="1" x14ac:dyDescent="0.25">
      <c r="A641" s="209">
        <f t="shared" si="6"/>
        <v>27.2</v>
      </c>
      <c r="B641" s="245"/>
      <c r="C641" s="246"/>
      <c r="D641" s="32"/>
      <c r="E641" s="210"/>
      <c r="F641" s="210"/>
      <c r="G641" s="211"/>
      <c r="I641">
        <f t="shared" si="5"/>
        <v>1</v>
      </c>
    </row>
    <row r="642" spans="1:9" ht="24" hidden="1" customHeight="1" x14ac:dyDescent="0.25">
      <c r="A642" s="209">
        <f t="shared" si="6"/>
        <v>27.3</v>
      </c>
      <c r="B642" s="245"/>
      <c r="C642" s="246"/>
      <c r="D642" s="32"/>
      <c r="E642" s="210"/>
      <c r="F642" s="210"/>
      <c r="G642" s="211"/>
      <c r="I642">
        <f t="shared" si="5"/>
        <v>1</v>
      </c>
    </row>
    <row r="643" spans="1:9" ht="24" hidden="1" customHeight="1" x14ac:dyDescent="0.25">
      <c r="A643" s="209">
        <f t="shared" si="6"/>
        <v>27.4</v>
      </c>
      <c r="B643" s="245"/>
      <c r="C643" s="246"/>
      <c r="D643" s="32"/>
      <c r="E643" s="210"/>
      <c r="F643" s="210"/>
      <c r="G643" s="211"/>
      <c r="I643">
        <f t="shared" si="5"/>
        <v>1</v>
      </c>
    </row>
    <row r="644" spans="1:9" ht="24" hidden="1" customHeight="1" x14ac:dyDescent="0.25">
      <c r="A644" s="209">
        <f t="shared" si="6"/>
        <v>27.5</v>
      </c>
      <c r="B644" s="245"/>
      <c r="C644" s="246"/>
      <c r="D644" s="32"/>
      <c r="E644" s="210"/>
      <c r="F644" s="210"/>
      <c r="G644" s="211"/>
      <c r="I644">
        <f t="shared" si="5"/>
        <v>1</v>
      </c>
    </row>
    <row r="645" spans="1:9" ht="24" hidden="1" customHeight="1" x14ac:dyDescent="0.25">
      <c r="A645" s="209">
        <f t="shared" si="6"/>
        <v>27.6</v>
      </c>
      <c r="B645" s="245"/>
      <c r="C645" s="246"/>
      <c r="D645" s="32"/>
      <c r="E645" s="210"/>
      <c r="F645" s="210"/>
      <c r="G645" s="211"/>
      <c r="I645">
        <f t="shared" si="5"/>
        <v>1</v>
      </c>
    </row>
    <row r="646" spans="1:9" ht="24" hidden="1" customHeight="1" x14ac:dyDescent="0.25">
      <c r="A646" s="209">
        <f t="shared" si="6"/>
        <v>28.1</v>
      </c>
      <c r="B646" s="245"/>
      <c r="C646" s="246"/>
      <c r="D646" s="32"/>
      <c r="E646" s="210"/>
      <c r="F646" s="210"/>
      <c r="G646" s="211"/>
      <c r="I646">
        <f t="shared" si="5"/>
        <v>1</v>
      </c>
    </row>
    <row r="647" spans="1:9" ht="24" hidden="1" customHeight="1" x14ac:dyDescent="0.25">
      <c r="A647" s="209">
        <f t="shared" si="6"/>
        <v>28.2</v>
      </c>
      <c r="B647" s="245"/>
      <c r="C647" s="246"/>
      <c r="D647" s="32"/>
      <c r="E647" s="210"/>
      <c r="F647" s="210"/>
      <c r="G647" s="211"/>
      <c r="I647">
        <f t="shared" si="5"/>
        <v>1</v>
      </c>
    </row>
    <row r="648" spans="1:9" ht="24" hidden="1" customHeight="1" x14ac:dyDescent="0.25">
      <c r="A648" s="209">
        <f t="shared" si="6"/>
        <v>28.3</v>
      </c>
      <c r="B648" s="245"/>
      <c r="C648" s="246"/>
      <c r="D648" s="32"/>
      <c r="E648" s="210"/>
      <c r="F648" s="210"/>
      <c r="G648" s="211"/>
      <c r="I648">
        <f t="shared" si="5"/>
        <v>1</v>
      </c>
    </row>
    <row r="649" spans="1:9" ht="24" hidden="1" customHeight="1" x14ac:dyDescent="0.25">
      <c r="A649" s="209">
        <f t="shared" si="6"/>
        <v>28.4</v>
      </c>
      <c r="B649" s="245"/>
      <c r="C649" s="246"/>
      <c r="D649" s="32"/>
      <c r="E649" s="210"/>
      <c r="F649" s="210"/>
      <c r="G649" s="211"/>
      <c r="I649">
        <f t="shared" si="5"/>
        <v>1</v>
      </c>
    </row>
    <row r="650" spans="1:9" ht="24" hidden="1" customHeight="1" x14ac:dyDescent="0.25">
      <c r="A650" s="209">
        <f t="shared" si="6"/>
        <v>28.5</v>
      </c>
      <c r="B650" s="245"/>
      <c r="C650" s="246"/>
      <c r="D650" s="32"/>
      <c r="E650" s="210"/>
      <c r="F650" s="210"/>
      <c r="G650" s="211"/>
      <c r="I650">
        <f t="shared" si="5"/>
        <v>1</v>
      </c>
    </row>
    <row r="651" spans="1:9" ht="24" hidden="1" customHeight="1" x14ac:dyDescent="0.25">
      <c r="A651" s="209">
        <f t="shared" si="6"/>
        <v>28.6</v>
      </c>
      <c r="B651" s="245"/>
      <c r="C651" s="246"/>
      <c r="D651" s="32"/>
      <c r="E651" s="210"/>
      <c r="F651" s="210"/>
      <c r="G651" s="211"/>
      <c r="I651">
        <f t="shared" si="5"/>
        <v>1</v>
      </c>
    </row>
    <row r="652" spans="1:9" ht="24" hidden="1" customHeight="1" x14ac:dyDescent="0.25">
      <c r="A652" s="209">
        <f t="shared" si="6"/>
        <v>29.1</v>
      </c>
      <c r="B652" s="245"/>
      <c r="C652" s="246"/>
      <c r="D652" s="32"/>
      <c r="E652" s="210"/>
      <c r="F652" s="210"/>
      <c r="G652" s="211"/>
      <c r="I652">
        <f t="shared" si="5"/>
        <v>1</v>
      </c>
    </row>
    <row r="653" spans="1:9" ht="24" hidden="1" customHeight="1" x14ac:dyDescent="0.25">
      <c r="A653" s="209">
        <f t="shared" si="6"/>
        <v>29.2</v>
      </c>
      <c r="B653" s="245"/>
      <c r="C653" s="246"/>
      <c r="D653" s="32"/>
      <c r="E653" s="210"/>
      <c r="F653" s="210"/>
      <c r="G653" s="211"/>
      <c r="I653">
        <f t="shared" si="5"/>
        <v>1</v>
      </c>
    </row>
    <row r="654" spans="1:9" ht="24" hidden="1" customHeight="1" x14ac:dyDescent="0.25">
      <c r="A654" s="209">
        <f t="shared" si="6"/>
        <v>29.3</v>
      </c>
      <c r="B654" s="245"/>
      <c r="C654" s="246"/>
      <c r="D654" s="32"/>
      <c r="E654" s="210"/>
      <c r="F654" s="210"/>
      <c r="G654" s="211"/>
      <c r="I654">
        <f t="shared" si="5"/>
        <v>1</v>
      </c>
    </row>
    <row r="655" spans="1:9" ht="24" hidden="1" customHeight="1" x14ac:dyDescent="0.25">
      <c r="A655" s="209">
        <f t="shared" si="6"/>
        <v>29.4</v>
      </c>
      <c r="B655" s="245"/>
      <c r="C655" s="246"/>
      <c r="D655" s="32"/>
      <c r="E655" s="210"/>
      <c r="F655" s="210"/>
      <c r="G655" s="211"/>
      <c r="I655">
        <f t="shared" si="5"/>
        <v>1</v>
      </c>
    </row>
    <row r="656" spans="1:9" ht="24" hidden="1" customHeight="1" x14ac:dyDescent="0.25">
      <c r="A656" s="209">
        <f t="shared" si="6"/>
        <v>29.5</v>
      </c>
      <c r="B656" s="245"/>
      <c r="C656" s="246"/>
      <c r="D656" s="32"/>
      <c r="E656" s="210"/>
      <c r="F656" s="210"/>
      <c r="G656" s="211"/>
      <c r="I656">
        <f t="shared" si="5"/>
        <v>1</v>
      </c>
    </row>
    <row r="657" spans="1:9" ht="24" hidden="1" customHeight="1" x14ac:dyDescent="0.25">
      <c r="A657" s="209">
        <f t="shared" si="6"/>
        <v>29.6</v>
      </c>
      <c r="B657" s="245"/>
      <c r="C657" s="246"/>
      <c r="D657" s="32"/>
      <c r="E657" s="210"/>
      <c r="F657" s="210"/>
      <c r="G657" s="211"/>
      <c r="I657">
        <f t="shared" si="5"/>
        <v>1</v>
      </c>
    </row>
    <row r="658" spans="1:9" ht="24" hidden="1" customHeight="1" x14ac:dyDescent="0.25">
      <c r="A658" s="209">
        <f t="shared" si="6"/>
        <v>30.1</v>
      </c>
      <c r="B658" s="245"/>
      <c r="C658" s="246"/>
      <c r="D658" s="207"/>
      <c r="E658" s="207"/>
      <c r="F658" s="207"/>
      <c r="G658" s="208"/>
      <c r="I658">
        <f t="shared" si="5"/>
        <v>1</v>
      </c>
    </row>
    <row r="659" spans="1:9" ht="24" hidden="1" customHeight="1" x14ac:dyDescent="0.25">
      <c r="A659" s="209">
        <f t="shared" si="6"/>
        <v>30.2</v>
      </c>
      <c r="B659" s="245"/>
      <c r="C659" s="246"/>
      <c r="D659" s="207"/>
      <c r="E659" s="207"/>
      <c r="F659" s="207"/>
      <c r="G659" s="208"/>
      <c r="I659">
        <f t="shared" si="5"/>
        <v>1</v>
      </c>
    </row>
    <row r="660" spans="1:9" ht="24" hidden="1" customHeight="1" x14ac:dyDescent="0.25">
      <c r="A660" s="209">
        <f t="shared" si="6"/>
        <v>30.3</v>
      </c>
      <c r="B660" s="245"/>
      <c r="C660" s="246"/>
      <c r="D660" s="207"/>
      <c r="E660" s="207"/>
      <c r="F660" s="207"/>
      <c r="G660" s="208"/>
      <c r="I660">
        <f t="shared" si="5"/>
        <v>1</v>
      </c>
    </row>
    <row r="661" spans="1:9" ht="24" hidden="1" customHeight="1" x14ac:dyDescent="0.25">
      <c r="A661" s="209">
        <f t="shared" si="6"/>
        <v>30.4</v>
      </c>
      <c r="B661" s="245"/>
      <c r="C661" s="246"/>
      <c r="D661" s="207"/>
      <c r="E661" s="207"/>
      <c r="F661" s="207"/>
      <c r="G661" s="208"/>
      <c r="I661">
        <f t="shared" si="5"/>
        <v>1</v>
      </c>
    </row>
    <row r="662" spans="1:9" ht="24" hidden="1" customHeight="1" x14ac:dyDescent="0.25">
      <c r="A662" s="209">
        <f t="shared" si="6"/>
        <v>30.5</v>
      </c>
      <c r="B662" s="245"/>
      <c r="C662" s="246"/>
      <c r="D662" s="207"/>
      <c r="E662" s="207"/>
      <c r="F662" s="207"/>
      <c r="G662" s="208"/>
      <c r="I662">
        <f t="shared" si="5"/>
        <v>1</v>
      </c>
    </row>
    <row r="663" spans="1:9" ht="24" hidden="1" customHeight="1" x14ac:dyDescent="0.25">
      <c r="A663" s="209">
        <f t="shared" si="6"/>
        <v>30.6</v>
      </c>
      <c r="B663" s="245"/>
      <c r="C663" s="246"/>
      <c r="D663" s="207"/>
      <c r="E663" s="207"/>
      <c r="F663" s="207"/>
      <c r="G663" s="208"/>
      <c r="I663">
        <f t="shared" si="5"/>
        <v>1</v>
      </c>
    </row>
  </sheetData>
  <sheetProtection algorithmName="SHA-512" hashValue="Shwb9HMpySz122BvvI2+dGtCOkTV97v6LwZO2xHzLZ1pvNpPstcbe56uIMii8Bc9oMmrfwDg1jw2KSLUFtvTRg==" saltValue="mioS0TiPG7gXSllfuWhh1w==" spinCount="100000" sheet="1" autoFilter="0"/>
  <autoFilter ref="A2:I663" xr:uid="{97D3AD4D-BCAE-489F-A17F-8ACB2320A3CC}">
    <filterColumn colId="8">
      <filters blank="1"/>
    </filterColumn>
  </autoFilter>
  <mergeCells count="344">
    <mergeCell ref="B377:G377"/>
    <mergeCell ref="B480:G480"/>
    <mergeCell ref="D451:G451"/>
    <mergeCell ref="B455:G455"/>
    <mergeCell ref="B450:G450"/>
    <mergeCell ref="B449:G449"/>
    <mergeCell ref="C454:G454"/>
    <mergeCell ref="B451:C451"/>
    <mergeCell ref="B430:G430"/>
    <mergeCell ref="B437:G437"/>
    <mergeCell ref="B438:G438"/>
    <mergeCell ref="B447:G447"/>
    <mergeCell ref="B439:G439"/>
    <mergeCell ref="B440:G440"/>
    <mergeCell ref="B441:G441"/>
    <mergeCell ref="B442:G442"/>
    <mergeCell ref="B456:D456"/>
    <mergeCell ref="E456:G456"/>
    <mergeCell ref="B435:G435"/>
    <mergeCell ref="B436:G436"/>
    <mergeCell ref="B432:G432"/>
    <mergeCell ref="B433:G433"/>
    <mergeCell ref="B448:G448"/>
    <mergeCell ref="B443:G443"/>
    <mergeCell ref="B22:C22"/>
    <mergeCell ref="G22:H22"/>
    <mergeCell ref="G23:H23"/>
    <mergeCell ref="B401:G401"/>
    <mergeCell ref="E390:G390"/>
    <mergeCell ref="B392:G392"/>
    <mergeCell ref="E384:G384"/>
    <mergeCell ref="B376:G376"/>
    <mergeCell ref="B400:G400"/>
    <mergeCell ref="E385:G385"/>
    <mergeCell ref="B381:G381"/>
    <mergeCell ref="B387:D387"/>
    <mergeCell ref="E387:G387"/>
    <mergeCell ref="B388:D388"/>
    <mergeCell ref="E388:G388"/>
    <mergeCell ref="B389:D389"/>
    <mergeCell ref="B397:G397"/>
    <mergeCell ref="B398:G398"/>
    <mergeCell ref="B393:G393"/>
    <mergeCell ref="B399:G399"/>
    <mergeCell ref="B379:G379"/>
    <mergeCell ref="B386:D386"/>
    <mergeCell ref="E386:G386"/>
    <mergeCell ref="B383:D383"/>
    <mergeCell ref="B445:G445"/>
    <mergeCell ref="B446:G446"/>
    <mergeCell ref="B412:G412"/>
    <mergeCell ref="B428:G428"/>
    <mergeCell ref="B410:G410"/>
    <mergeCell ref="B422:G422"/>
    <mergeCell ref="B423:G423"/>
    <mergeCell ref="B424:G424"/>
    <mergeCell ref="B425:G425"/>
    <mergeCell ref="B416:G416"/>
    <mergeCell ref="B417:G417"/>
    <mergeCell ref="B419:G419"/>
    <mergeCell ref="B415:G415"/>
    <mergeCell ref="B434:G434"/>
    <mergeCell ref="B429:G429"/>
    <mergeCell ref="B431:G431"/>
    <mergeCell ref="B426:G426"/>
    <mergeCell ref="B427:G427"/>
    <mergeCell ref="B421:G421"/>
    <mergeCell ref="B418:G418"/>
    <mergeCell ref="B420:G420"/>
    <mergeCell ref="B411:G411"/>
    <mergeCell ref="B444:G444"/>
    <mergeCell ref="B414:G414"/>
    <mergeCell ref="B394:G394"/>
    <mergeCell ref="B391:G391"/>
    <mergeCell ref="B378:G378"/>
    <mergeCell ref="B380:G380"/>
    <mergeCell ref="B396:G396"/>
    <mergeCell ref="B382:D382"/>
    <mergeCell ref="B385:D385"/>
    <mergeCell ref="B395:G395"/>
    <mergeCell ref="E382:G382"/>
    <mergeCell ref="B390:D390"/>
    <mergeCell ref="E389:G389"/>
    <mergeCell ref="B384:D384"/>
    <mergeCell ref="E383:G383"/>
    <mergeCell ref="B413:G413"/>
    <mergeCell ref="B402:G402"/>
    <mergeCell ref="B403:G403"/>
    <mergeCell ref="B404:G404"/>
    <mergeCell ref="B405:G405"/>
    <mergeCell ref="B406:G406"/>
    <mergeCell ref="B407:G407"/>
    <mergeCell ref="B408:G408"/>
    <mergeCell ref="B409:G409"/>
    <mergeCell ref="B375:G375"/>
    <mergeCell ref="G16:H16"/>
    <mergeCell ref="G17:H17"/>
    <mergeCell ref="B26:E26"/>
    <mergeCell ref="B28:G28"/>
    <mergeCell ref="B27:C27"/>
    <mergeCell ref="B30:G30"/>
    <mergeCell ref="F373:G373"/>
    <mergeCell ref="D372:E372"/>
    <mergeCell ref="B370:C370"/>
    <mergeCell ref="D370:E370"/>
    <mergeCell ref="F370:G370"/>
    <mergeCell ref="B371:C371"/>
    <mergeCell ref="D371:E371"/>
    <mergeCell ref="F371:G371"/>
    <mergeCell ref="B374:G374"/>
    <mergeCell ref="F372:G372"/>
    <mergeCell ref="B373:C373"/>
    <mergeCell ref="D373:E373"/>
    <mergeCell ref="B372:C372"/>
    <mergeCell ref="B369:C369"/>
    <mergeCell ref="D369:E369"/>
    <mergeCell ref="F369:G369"/>
    <mergeCell ref="B19:C19"/>
    <mergeCell ref="B14:C14"/>
    <mergeCell ref="B15:C15"/>
    <mergeCell ref="B16:C16"/>
    <mergeCell ref="B17:C17"/>
    <mergeCell ref="B368:C368"/>
    <mergeCell ref="D368:E368"/>
    <mergeCell ref="B29:G29"/>
    <mergeCell ref="D27:G27"/>
    <mergeCell ref="B31:G31"/>
    <mergeCell ref="B366:G366"/>
    <mergeCell ref="B367:G367"/>
    <mergeCell ref="D32:F32"/>
    <mergeCell ref="B33:G33"/>
    <mergeCell ref="B23:C23"/>
    <mergeCell ref="F368:G368"/>
    <mergeCell ref="B18:C18"/>
    <mergeCell ref="G18:H18"/>
    <mergeCell ref="G14:H14"/>
    <mergeCell ref="G15:H15"/>
    <mergeCell ref="G19:H19"/>
    <mergeCell ref="B20:C20"/>
    <mergeCell ref="G20:H20"/>
    <mergeCell ref="B21:C21"/>
    <mergeCell ref="G21:H21"/>
    <mergeCell ref="E1:G1"/>
    <mergeCell ref="B13:C13"/>
    <mergeCell ref="G4:H5"/>
    <mergeCell ref="G6:H6"/>
    <mergeCell ref="G7:H7"/>
    <mergeCell ref="G8:H8"/>
    <mergeCell ref="G9:H9"/>
    <mergeCell ref="G10:H10"/>
    <mergeCell ref="G11:H11"/>
    <mergeCell ref="G12:H12"/>
    <mergeCell ref="G13:H13"/>
    <mergeCell ref="B4:C5"/>
    <mergeCell ref="B6:C6"/>
    <mergeCell ref="B7:C7"/>
    <mergeCell ref="B8:C8"/>
    <mergeCell ref="B9:C9"/>
    <mergeCell ref="B10:C10"/>
    <mergeCell ref="B11:C11"/>
    <mergeCell ref="B12:C12"/>
    <mergeCell ref="D4:F4"/>
    <mergeCell ref="B484:C484"/>
    <mergeCell ref="B486:C486"/>
    <mergeCell ref="B485:C485"/>
    <mergeCell ref="B487:C487"/>
    <mergeCell ref="B489:C489"/>
    <mergeCell ref="B488:C488"/>
    <mergeCell ref="B482:C482"/>
    <mergeCell ref="D482:F482"/>
    <mergeCell ref="B490:C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15:C515"/>
    <mergeCell ref="B516:C516"/>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610:C610"/>
    <mergeCell ref="B611:C611"/>
    <mergeCell ref="B612:C612"/>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35:C635"/>
    <mergeCell ref="B636:C636"/>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62:C662"/>
    <mergeCell ref="B663:C663"/>
    <mergeCell ref="B653:C653"/>
    <mergeCell ref="B654:C654"/>
    <mergeCell ref="B655:C655"/>
    <mergeCell ref="B656:C656"/>
    <mergeCell ref="B657:C657"/>
    <mergeCell ref="B658:C658"/>
    <mergeCell ref="B659:C659"/>
    <mergeCell ref="B660:C660"/>
    <mergeCell ref="B661:C661"/>
  </mergeCells>
  <conditionalFormatting sqref="D32">
    <cfRule type="cellIs" dxfId="107" priority="45" operator="equal">
      <formula>"Extreme 10"</formula>
    </cfRule>
    <cfRule type="cellIs" dxfId="106" priority="46" operator="equal">
      <formula>"Extreme 9"</formula>
    </cfRule>
    <cfRule type="cellIs" dxfId="105" priority="47" operator="equal">
      <formula>"Extreme 8"</formula>
    </cfRule>
    <cfRule type="cellIs" dxfId="104" priority="48" operator="equal">
      <formula>"High 8"</formula>
    </cfRule>
    <cfRule type="cellIs" dxfId="103" priority="49" operator="equal">
      <formula>"High 7"</formula>
    </cfRule>
    <cfRule type="cellIs" dxfId="102" priority="50" operator="equal">
      <formula>"Medium 7"</formula>
    </cfRule>
    <cfRule type="cellIs" dxfId="101" priority="51" operator="equal">
      <formula>"Medium 6"</formula>
    </cfRule>
    <cfRule type="cellIs" dxfId="100" priority="52" operator="equal">
      <formula>"Medium 5"</formula>
    </cfRule>
    <cfRule type="cellIs" dxfId="99" priority="53" operator="equal">
      <formula>"Low 4"</formula>
    </cfRule>
    <cfRule type="cellIs" dxfId="98" priority="54" operator="equal">
      <formula>"Low 3"</formula>
    </cfRule>
    <cfRule type="cellIs" dxfId="97" priority="55" operator="equal">
      <formula>"Low 2"</formula>
    </cfRule>
  </conditionalFormatting>
  <conditionalFormatting sqref="F6:F23">
    <cfRule type="cellIs" dxfId="96" priority="34" operator="equal">
      <formula>"Extreme 10"</formula>
    </cfRule>
    <cfRule type="cellIs" dxfId="95" priority="35" operator="equal">
      <formula>"Extreme 9"</formula>
    </cfRule>
    <cfRule type="cellIs" dxfId="94" priority="36" operator="equal">
      <formula>"Extreme 8"</formula>
    </cfRule>
    <cfRule type="cellIs" dxfId="93" priority="37" operator="equal">
      <formula>"High 8"</formula>
    </cfRule>
    <cfRule type="cellIs" dxfId="92" priority="38" operator="equal">
      <formula>"High 7"</formula>
    </cfRule>
    <cfRule type="cellIs" dxfId="91" priority="39" operator="equal">
      <formula>"Medium 7"</formula>
    </cfRule>
    <cfRule type="cellIs" dxfId="90" priority="40" operator="equal">
      <formula>"Medium 6"</formula>
    </cfRule>
    <cfRule type="cellIs" dxfId="89" priority="41" operator="equal">
      <formula>"Medium 5"</formula>
    </cfRule>
    <cfRule type="cellIs" dxfId="88" priority="42" operator="equal">
      <formula>"Low 4"</formula>
    </cfRule>
    <cfRule type="cellIs" dxfId="87" priority="43" operator="equal">
      <formula>"Low 3"</formula>
    </cfRule>
    <cfRule type="cellIs" dxfId="86" priority="44" operator="equal">
      <formula>"Low 2"</formula>
    </cfRule>
  </conditionalFormatting>
  <pageMargins left="0.51181102362204722" right="0.51181102362204722" top="0.74803149606299213" bottom="0.74803149606299213" header="0.31496062992125984" footer="0.31496062992125984"/>
  <pageSetup paperSize="9" scale="90" fitToHeight="0" orientation="portrait" r:id="rId1"/>
  <headerFooter>
    <oddFooter>&amp;LIssue Date: &amp;D&amp;RPage &amp;P of &amp;N</oddFooter>
  </headerFooter>
  <rowBreaks count="2" manualBreakCount="2">
    <brk id="448" max="16383" man="1"/>
    <brk id="481" max="16383" man="1"/>
  </rowBreaks>
  <ignoredErrors>
    <ignoredError sqref="D24:F2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634999-FBE4-40B9-A08B-91D0B045E5CC}">
          <x14:formula1>
            <xm:f>Ref!$T$2:$T$33</xm:f>
          </x14:formula1>
          <xm:sqref>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77E6-D1F9-49FA-A112-07D99B105C78}">
  <dimension ref="A1:Y58"/>
  <sheetViews>
    <sheetView workbookViewId="0">
      <selection activeCell="G61" sqref="G61"/>
    </sheetView>
  </sheetViews>
  <sheetFormatPr defaultRowHeight="15" x14ac:dyDescent="0.25"/>
  <cols>
    <col min="1" max="1" width="4.140625" customWidth="1"/>
    <col min="2" max="2" width="43.42578125" customWidth="1"/>
    <col min="3" max="3" width="16.42578125" customWidth="1"/>
    <col min="4" max="4" width="17.85546875" customWidth="1"/>
    <col min="5" max="11" width="18.5703125" customWidth="1"/>
    <col min="12" max="12" width="2.5703125" customWidth="1"/>
    <col min="13" max="13" width="12.5703125" customWidth="1"/>
    <col min="14" max="15" width="16.42578125" style="118" customWidth="1"/>
    <col min="16" max="16" width="14.5703125" hidden="1" customWidth="1"/>
    <col min="17" max="26" width="14.5703125" customWidth="1"/>
  </cols>
  <sheetData>
    <row r="1" spans="2:15" ht="15.75" x14ac:dyDescent="0.25">
      <c r="B1" s="34" t="s">
        <v>155</v>
      </c>
    </row>
    <row r="2" spans="2:15" ht="15.75" thickBot="1" x14ac:dyDescent="0.3">
      <c r="B2" t="s">
        <v>157</v>
      </c>
      <c r="F2" s="2" t="s">
        <v>58</v>
      </c>
      <c r="O2" s="83"/>
    </row>
    <row r="3" spans="2:15" x14ac:dyDescent="0.25">
      <c r="B3" s="222" t="s">
        <v>165</v>
      </c>
      <c r="C3" s="223" t="s">
        <v>160</v>
      </c>
      <c r="D3" s="224" t="s">
        <v>1017</v>
      </c>
      <c r="E3">
        <v>1</v>
      </c>
      <c r="F3" t="s">
        <v>293</v>
      </c>
      <c r="M3" s="2"/>
      <c r="N3" s="83"/>
      <c r="O3" s="83"/>
    </row>
    <row r="4" spans="2:15" x14ac:dyDescent="0.25">
      <c r="B4" s="225" t="s">
        <v>289</v>
      </c>
      <c r="C4" s="226" t="s">
        <v>456</v>
      </c>
      <c r="D4" s="227" t="s">
        <v>166</v>
      </c>
      <c r="E4">
        <v>2</v>
      </c>
      <c r="F4" t="s">
        <v>294</v>
      </c>
      <c r="M4" s="2"/>
      <c r="N4" s="83"/>
      <c r="O4" s="83"/>
    </row>
    <row r="5" spans="2:15" x14ac:dyDescent="0.25">
      <c r="B5" s="225" t="s">
        <v>290</v>
      </c>
      <c r="C5" s="226" t="s">
        <v>451</v>
      </c>
      <c r="D5" s="227" t="s">
        <v>166</v>
      </c>
      <c r="E5">
        <v>3</v>
      </c>
      <c r="F5" t="s">
        <v>295</v>
      </c>
      <c r="M5" s="2"/>
      <c r="N5" s="83"/>
      <c r="O5" s="83"/>
    </row>
    <row r="6" spans="2:15" x14ac:dyDescent="0.25">
      <c r="B6" s="225" t="s">
        <v>167</v>
      </c>
      <c r="C6" s="226" t="s">
        <v>452</v>
      </c>
      <c r="D6" s="227" t="s">
        <v>166</v>
      </c>
      <c r="E6">
        <v>4</v>
      </c>
      <c r="F6" t="s">
        <v>296</v>
      </c>
      <c r="M6" s="2"/>
      <c r="N6" s="83"/>
      <c r="O6" s="83"/>
    </row>
    <row r="7" spans="2:15" x14ac:dyDescent="0.25">
      <c r="B7" s="225" t="s">
        <v>168</v>
      </c>
      <c r="C7" s="226" t="s">
        <v>453</v>
      </c>
      <c r="D7" s="227" t="s">
        <v>166</v>
      </c>
      <c r="E7">
        <v>5</v>
      </c>
      <c r="F7" t="s">
        <v>297</v>
      </c>
      <c r="M7" s="2"/>
      <c r="N7" s="83"/>
      <c r="O7" s="83"/>
    </row>
    <row r="8" spans="2:15" x14ac:dyDescent="0.25">
      <c r="B8" s="225" t="s">
        <v>169</v>
      </c>
      <c r="C8" s="226" t="s">
        <v>454</v>
      </c>
      <c r="D8" s="227" t="s">
        <v>166</v>
      </c>
      <c r="E8">
        <v>6</v>
      </c>
      <c r="F8" t="s">
        <v>298</v>
      </c>
      <c r="M8" s="2"/>
      <c r="N8" s="83"/>
      <c r="O8" s="83"/>
    </row>
    <row r="9" spans="2:15" x14ac:dyDescent="0.25">
      <c r="B9" s="225" t="s">
        <v>170</v>
      </c>
      <c r="C9" s="226" t="s">
        <v>455</v>
      </c>
      <c r="D9" s="227" t="s">
        <v>166</v>
      </c>
      <c r="M9" s="2"/>
      <c r="N9" s="83"/>
      <c r="O9" s="83"/>
    </row>
    <row r="10" spans="2:15" x14ac:dyDescent="0.25">
      <c r="B10" s="225" t="s">
        <v>171</v>
      </c>
      <c r="C10" s="226" t="s">
        <v>291</v>
      </c>
      <c r="D10" s="228" t="s">
        <v>173</v>
      </c>
      <c r="M10" s="2"/>
      <c r="N10" s="83"/>
      <c r="O10" s="83"/>
    </row>
    <row r="11" spans="2:15" x14ac:dyDescent="0.25">
      <c r="B11" s="225" t="s">
        <v>172</v>
      </c>
      <c r="C11" s="226" t="s">
        <v>292</v>
      </c>
      <c r="D11" s="228" t="s">
        <v>173</v>
      </c>
      <c r="M11" s="2"/>
      <c r="N11" s="83"/>
      <c r="O11" s="83"/>
    </row>
    <row r="12" spans="2:15" x14ac:dyDescent="0.25">
      <c r="B12" s="225" t="s">
        <v>174</v>
      </c>
      <c r="C12" s="226"/>
      <c r="D12" s="228" t="s">
        <v>173</v>
      </c>
      <c r="M12" s="2"/>
      <c r="N12" s="83"/>
      <c r="O12" s="83"/>
    </row>
    <row r="13" spans="2:15" x14ac:dyDescent="0.25">
      <c r="B13" s="225" t="s">
        <v>175</v>
      </c>
      <c r="C13" s="226"/>
      <c r="D13" s="228" t="s">
        <v>173</v>
      </c>
      <c r="M13" s="2"/>
      <c r="N13" s="83"/>
      <c r="O13" s="83"/>
    </row>
    <row r="14" spans="2:15" x14ac:dyDescent="0.25">
      <c r="B14" s="225" t="s">
        <v>176</v>
      </c>
      <c r="D14" s="228" t="s">
        <v>173</v>
      </c>
      <c r="M14" s="2"/>
      <c r="N14" s="83"/>
      <c r="O14" s="83"/>
    </row>
    <row r="15" spans="2:15" x14ac:dyDescent="0.25">
      <c r="B15" s="225" t="s">
        <v>177</v>
      </c>
      <c r="D15" s="228" t="s">
        <v>173</v>
      </c>
      <c r="M15" s="2"/>
      <c r="N15" s="83"/>
      <c r="O15" s="83"/>
    </row>
    <row r="16" spans="2:15" x14ac:dyDescent="0.25">
      <c r="B16" s="225" t="s">
        <v>178</v>
      </c>
      <c r="D16" s="228" t="s">
        <v>173</v>
      </c>
      <c r="M16" s="2"/>
      <c r="N16" s="83"/>
      <c r="O16" s="83"/>
    </row>
    <row r="17" spans="1:25" x14ac:dyDescent="0.25">
      <c r="B17" s="225" t="s">
        <v>179</v>
      </c>
      <c r="D17" s="228" t="s">
        <v>173</v>
      </c>
      <c r="M17" s="2"/>
      <c r="N17" s="83"/>
      <c r="O17" s="83"/>
    </row>
    <row r="18" spans="1:25" x14ac:dyDescent="0.25">
      <c r="B18" s="225"/>
      <c r="D18" s="229"/>
      <c r="M18" s="2"/>
      <c r="N18" s="83"/>
      <c r="O18" s="83"/>
    </row>
    <row r="19" spans="1:25" x14ac:dyDescent="0.25">
      <c r="B19" s="225"/>
      <c r="D19" s="229"/>
      <c r="M19" s="2"/>
      <c r="N19" s="83"/>
      <c r="O19" s="83"/>
    </row>
    <row r="20" spans="1:25" x14ac:dyDescent="0.25">
      <c r="B20" s="225"/>
      <c r="D20" s="229"/>
      <c r="M20" s="2"/>
      <c r="N20" s="83"/>
      <c r="O20" s="83"/>
    </row>
    <row r="21" spans="1:25" x14ac:dyDescent="0.25">
      <c r="B21" s="225"/>
      <c r="D21" s="229"/>
      <c r="M21" s="2"/>
      <c r="N21" s="83"/>
      <c r="O21" s="83"/>
    </row>
    <row r="22" spans="1:25" x14ac:dyDescent="0.25">
      <c r="B22" s="225"/>
      <c r="D22" s="229"/>
      <c r="M22" s="2"/>
      <c r="N22" s="83"/>
      <c r="O22" s="83"/>
    </row>
    <row r="23" spans="1:25" x14ac:dyDescent="0.25">
      <c r="B23" s="225"/>
      <c r="D23" s="229"/>
      <c r="M23" t="s">
        <v>156</v>
      </c>
      <c r="N23" s="154">
        <f ca="1">TODAY()</f>
        <v>45792</v>
      </c>
      <c r="O23" s="83"/>
    </row>
    <row r="24" spans="1:25" ht="15.75" thickBot="1" x14ac:dyDescent="0.3">
      <c r="B24" s="62"/>
      <c r="C24" s="63"/>
      <c r="D24" s="64"/>
      <c r="M24" s="2" t="s">
        <v>158</v>
      </c>
      <c r="N24" s="153" t="s">
        <v>167</v>
      </c>
      <c r="O24" s="83"/>
    </row>
    <row r="25" spans="1:25" ht="20.25" customHeight="1" x14ac:dyDescent="0.25">
      <c r="D25" s="313" t="s">
        <v>159</v>
      </c>
      <c r="E25" s="314"/>
      <c r="F25" s="314"/>
      <c r="G25" s="314"/>
      <c r="H25" s="314"/>
      <c r="I25" s="314"/>
      <c r="M25" s="2" t="s">
        <v>160</v>
      </c>
      <c r="N25" s="83" t="str">
        <f>IFERROR(VLOOKUP(N24,B4:C24,2,0),"")</f>
        <v>Bioscience Manager</v>
      </c>
      <c r="O25" s="83"/>
    </row>
    <row r="26" spans="1:25" ht="48.75" customHeight="1" x14ac:dyDescent="0.25">
      <c r="A26" s="135"/>
      <c r="B26" s="149" t="s">
        <v>161</v>
      </c>
      <c r="C26" s="150"/>
      <c r="D26" s="137" t="s">
        <v>456</v>
      </c>
      <c r="E26" s="137" t="s">
        <v>451</v>
      </c>
      <c r="F26" s="137" t="s">
        <v>452</v>
      </c>
      <c r="G26" s="138" t="s">
        <v>453</v>
      </c>
      <c r="H26" s="138" t="s">
        <v>454</v>
      </c>
      <c r="I26" s="138" t="s">
        <v>455</v>
      </c>
      <c r="J26" s="138" t="s">
        <v>291</v>
      </c>
      <c r="K26" s="138" t="s">
        <v>292</v>
      </c>
      <c r="M26" s="148" t="s">
        <v>87</v>
      </c>
      <c r="N26" s="148" t="s">
        <v>162</v>
      </c>
      <c r="O26" s="148" t="s">
        <v>163</v>
      </c>
      <c r="P26" s="83" t="s">
        <v>59</v>
      </c>
      <c r="Q26" s="83"/>
      <c r="R26" s="83"/>
      <c r="S26" s="83"/>
      <c r="T26" s="83"/>
      <c r="U26" s="83"/>
      <c r="V26" s="83"/>
      <c r="W26" s="83"/>
      <c r="X26" s="83"/>
      <c r="Y26" s="83"/>
    </row>
    <row r="27" spans="1:25" ht="7.5" customHeight="1" x14ac:dyDescent="0.25">
      <c r="A27" s="2"/>
      <c r="B27" s="139"/>
      <c r="C27" s="140"/>
      <c r="D27" s="141"/>
      <c r="E27" s="142"/>
      <c r="F27" s="142"/>
      <c r="G27" s="142"/>
      <c r="H27" s="141"/>
      <c r="I27" s="141"/>
      <c r="J27" s="141"/>
      <c r="K27" s="172"/>
      <c r="L27" s="146"/>
      <c r="M27" s="147"/>
      <c r="N27" s="151"/>
      <c r="O27" s="151"/>
      <c r="P27" s="147"/>
      <c r="Q27" s="134"/>
      <c r="R27" s="134"/>
      <c r="S27" s="134"/>
      <c r="T27" s="134"/>
      <c r="U27" s="134"/>
      <c r="V27" s="134"/>
      <c r="W27" s="134"/>
      <c r="X27" s="134"/>
      <c r="Y27" s="134"/>
    </row>
    <row r="28" spans="1:25" x14ac:dyDescent="0.25">
      <c r="B28" s="136" t="str">
        <f>Ref!$T$2</f>
        <v>Laboratory Entry and Exit</v>
      </c>
      <c r="C28" s="143" t="str">
        <f>Ref!$S$2</f>
        <v>ALP.BSP.SOP.001</v>
      </c>
      <c r="D28" s="85" t="s">
        <v>164</v>
      </c>
      <c r="E28" s="85" t="s">
        <v>164</v>
      </c>
      <c r="F28" s="85" t="s">
        <v>164</v>
      </c>
      <c r="G28" s="85" t="s">
        <v>164</v>
      </c>
      <c r="H28" s="85" t="s">
        <v>164</v>
      </c>
      <c r="I28" s="85" t="s">
        <v>164</v>
      </c>
      <c r="J28" s="85"/>
      <c r="K28" s="85"/>
      <c r="L28" s="146"/>
      <c r="M28" s="155" t="str">
        <f ca="1">IFERROR(IF(INDEX($C$26:$K$57,MATCH($C28,$C$26:$C$57,0),MATCH(N$25,$C$26:$K$26,0))="x",IF(OR(N28="",TODAY()&lt;N28),"Overdue","Current"),""),"")</f>
        <v>Current</v>
      </c>
      <c r="N28" s="156">
        <f>IFERROR(INDEX('SOP register'!$AE$4:$AE$561,MATCH('Training Matrix'!P28,'SOP register'!$AH$4:$AH$561,0)),"")</f>
        <v>45792</v>
      </c>
      <c r="O28" s="156">
        <f>IFERROR(INDEX('SOP register'!$AF$4:$AF$561,MATCH('Training Matrix'!P28,'SOP register'!$AH$4:$AH$561,0)),"")</f>
        <v>46522</v>
      </c>
      <c r="P28" s="152" t="str">
        <f t="shared" ref="P28:P55" si="0">CONCATENATE(N$24,"_",C28,"_",B28,)</f>
        <v>Person 3_ALP.BSP.SOP.001_Laboratory Entry and Exit</v>
      </c>
    </row>
    <row r="29" spans="1:25" x14ac:dyDescent="0.25">
      <c r="B29" s="136" t="str">
        <f>Ref!$T$3</f>
        <v>Contractor laboratory access</v>
      </c>
      <c r="C29" s="143" t="str">
        <f>Ref!$S$3</f>
        <v>ALP.BSP.SOP.002</v>
      </c>
      <c r="D29" s="85" t="s">
        <v>164</v>
      </c>
      <c r="E29" s="85" t="s">
        <v>164</v>
      </c>
      <c r="F29" s="85" t="s">
        <v>164</v>
      </c>
      <c r="G29" s="85" t="s">
        <v>164</v>
      </c>
      <c r="H29" s="85" t="s">
        <v>164</v>
      </c>
      <c r="I29" s="85" t="s">
        <v>164</v>
      </c>
      <c r="J29" s="85"/>
      <c r="K29" s="85"/>
      <c r="L29" s="146"/>
      <c r="M29" s="155" t="str">
        <f t="shared" ref="M29:M57" ca="1" si="1">IFERROR(IF(INDEX($C$26:$K$57,MATCH($C29,$C$26:$C$57,0),MATCH(N$25,$C$26:$K$26,0))="x",IF(OR(N29="",TODAY()&lt;N29),"Overdue","Current"),""),"")</f>
        <v>Current</v>
      </c>
      <c r="N29" s="156">
        <f>IFERROR(INDEX('SOP register'!$AE$4:$AE$561,MATCH('Training Matrix'!P29,'SOP register'!$AH$4:$AH$561,0)),"")</f>
        <v>45792</v>
      </c>
      <c r="O29" s="156">
        <f>IFERROR(INDEX('SOP register'!$AF$4:$AF$561,MATCH('Training Matrix'!P29,'SOP register'!$AH$4:$AH$561,0)),"")</f>
        <v>46522</v>
      </c>
      <c r="P29" s="152" t="str">
        <f t="shared" si="0"/>
        <v>Person 3_ALP.BSP.SOP.002_Contractor laboratory access</v>
      </c>
    </row>
    <row r="30" spans="1:25" x14ac:dyDescent="0.25">
      <c r="B30" s="136" t="str">
        <f>Ref!$T$4</f>
        <v>Receiving and moving biological specimens</v>
      </c>
      <c r="C30" s="143" t="str">
        <f>Ref!$S$4</f>
        <v>ALP.BSP.SOP.003</v>
      </c>
      <c r="D30" s="85"/>
      <c r="E30" s="85" t="s">
        <v>164</v>
      </c>
      <c r="F30" s="85" t="s">
        <v>164</v>
      </c>
      <c r="G30" s="85" t="s">
        <v>164</v>
      </c>
      <c r="H30" s="85" t="s">
        <v>164</v>
      </c>
      <c r="I30" s="85" t="s">
        <v>164</v>
      </c>
      <c r="J30" s="85"/>
      <c r="K30" s="85"/>
      <c r="L30" s="146"/>
      <c r="M30" s="155" t="str">
        <f t="shared" ca="1" si="1"/>
        <v>Current</v>
      </c>
      <c r="N30" s="156">
        <f>IFERROR(INDEX('SOP register'!$AE$4:$AE$561,MATCH('Training Matrix'!P30,'SOP register'!$AH$4:$AH$561,0)),"")</f>
        <v>45792</v>
      </c>
      <c r="O30" s="156">
        <f>IFERROR(INDEX('SOP register'!$AF$4:$AF$561,MATCH('Training Matrix'!P30,'SOP register'!$AH$4:$AH$561,0)),"")</f>
        <v>46522</v>
      </c>
      <c r="P30" s="152" t="str">
        <f t="shared" si="0"/>
        <v>Person 3_ALP.BSP.SOP.003_Receiving and moving biological specimens</v>
      </c>
    </row>
    <row r="31" spans="1:25" x14ac:dyDescent="0.25">
      <c r="B31" s="136" t="str">
        <f>Ref!$T$5</f>
        <v>Use of Walk In Freezer</v>
      </c>
      <c r="C31" s="143" t="str">
        <f>Ref!$S$5</f>
        <v>ALP.BSP.SOP.004</v>
      </c>
      <c r="D31" s="85" t="s">
        <v>164</v>
      </c>
      <c r="E31" s="85" t="s">
        <v>164</v>
      </c>
      <c r="F31" s="85" t="s">
        <v>164</v>
      </c>
      <c r="G31" s="85" t="s">
        <v>164</v>
      </c>
      <c r="H31" s="85" t="s">
        <v>164</v>
      </c>
      <c r="I31" s="85" t="s">
        <v>164</v>
      </c>
      <c r="J31" s="85"/>
      <c r="K31" s="85"/>
      <c r="L31" s="146"/>
      <c r="M31" s="155" t="str">
        <f t="shared" ca="1" si="1"/>
        <v>Current</v>
      </c>
      <c r="N31" s="156">
        <f>IFERROR(INDEX('SOP register'!$AE$4:$AE$561,MATCH('Training Matrix'!P31,'SOP register'!$AH$4:$AH$561,0)),"")</f>
        <v>45792</v>
      </c>
      <c r="O31" s="156">
        <f>IFERROR(INDEX('SOP register'!$AF$4:$AF$561,MATCH('Training Matrix'!P31,'SOP register'!$AH$4:$AH$561,0)),"")</f>
        <v>46522</v>
      </c>
      <c r="P31" s="152" t="str">
        <f t="shared" si="0"/>
        <v>Person 3_ALP.BSP.SOP.004_Use of Walk In Freezer</v>
      </c>
    </row>
    <row r="32" spans="1:25" x14ac:dyDescent="0.25">
      <c r="B32" s="136" t="str">
        <f>Ref!$T$6</f>
        <v>Triage of Specimens in the BSP freezer</v>
      </c>
      <c r="C32" s="143" t="str">
        <f>Ref!$S$6</f>
        <v>ALP.BSP.SOP.005</v>
      </c>
      <c r="D32" s="85"/>
      <c r="E32" s="85"/>
      <c r="F32" s="85" t="s">
        <v>164</v>
      </c>
      <c r="G32" s="85" t="s">
        <v>164</v>
      </c>
      <c r="H32" s="85" t="s">
        <v>164</v>
      </c>
      <c r="I32" s="85" t="s">
        <v>164</v>
      </c>
      <c r="J32" s="85"/>
      <c r="K32" s="85"/>
      <c r="L32" s="146"/>
      <c r="M32" s="155" t="str">
        <f t="shared" ca="1" si="1"/>
        <v>Current</v>
      </c>
      <c r="N32" s="156">
        <f>IFERROR(INDEX('SOP register'!$AE$4:$AE$561,MATCH('Training Matrix'!P32,'SOP register'!$AH$4:$AH$561,0)),"")</f>
        <v>45792</v>
      </c>
      <c r="O32" s="156">
        <f>IFERROR(INDEX('SOP register'!$AF$4:$AF$561,MATCH('Training Matrix'!P32,'SOP register'!$AH$4:$AH$561,0)),"")</f>
        <v>46522</v>
      </c>
      <c r="P32" s="152" t="str">
        <f t="shared" si="0"/>
        <v>Person 3_ALP.BSP.SOP.005_Triage of Specimens in the BSP freezer</v>
      </c>
    </row>
    <row r="33" spans="2:16" x14ac:dyDescent="0.25">
      <c r="B33" s="136" t="str">
        <f>Ref!$T$7</f>
        <v>Clinical Waste Movement and Pick Up</v>
      </c>
      <c r="C33" s="143" t="str">
        <f>Ref!$S$7</f>
        <v>ALP.BSP.SOP.006</v>
      </c>
      <c r="D33" s="85" t="s">
        <v>164</v>
      </c>
      <c r="E33" s="85" t="s">
        <v>164</v>
      </c>
      <c r="F33" s="85" t="s">
        <v>164</v>
      </c>
      <c r="G33" s="85" t="s">
        <v>164</v>
      </c>
      <c r="H33" s="85" t="s">
        <v>164</v>
      </c>
      <c r="I33" s="85" t="s">
        <v>164</v>
      </c>
      <c r="J33" s="85"/>
      <c r="K33" s="85"/>
      <c r="L33" s="146"/>
      <c r="M33" s="155" t="str">
        <f t="shared" ca="1" si="1"/>
        <v>Current</v>
      </c>
      <c r="N33" s="156">
        <f>IFERROR(INDEX('SOP register'!$AE$4:$AE$561,MATCH('Training Matrix'!P33,'SOP register'!$AH$4:$AH$561,0)),"")</f>
        <v>45792</v>
      </c>
      <c r="O33" s="156">
        <f>IFERROR(INDEX('SOP register'!$AF$4:$AF$561,MATCH('Training Matrix'!P33,'SOP register'!$AH$4:$AH$561,0)),"")</f>
        <v>46522</v>
      </c>
      <c r="P33" s="152" t="str">
        <f t="shared" si="0"/>
        <v>Person 3_ALP.BSP.SOP.006_Clinical Waste Movement and Pick Up</v>
      </c>
    </row>
    <row r="34" spans="2:16" x14ac:dyDescent="0.25">
      <c r="B34" s="136" t="str">
        <f>Ref!$T$8</f>
        <v>Sharps use and disposal</v>
      </c>
      <c r="C34" s="143" t="str">
        <f>Ref!$S$8</f>
        <v>ALP.BSP.SOP.007</v>
      </c>
      <c r="D34" s="85"/>
      <c r="E34" s="85"/>
      <c r="F34" s="85" t="s">
        <v>164</v>
      </c>
      <c r="G34" s="85" t="s">
        <v>164</v>
      </c>
      <c r="H34" s="85" t="s">
        <v>164</v>
      </c>
      <c r="I34" s="85" t="s">
        <v>164</v>
      </c>
      <c r="J34" s="85"/>
      <c r="K34" s="85"/>
      <c r="L34" s="146"/>
      <c r="M34" s="155" t="str">
        <f t="shared" ca="1" si="1"/>
        <v>Current</v>
      </c>
      <c r="N34" s="156">
        <f>IFERROR(INDEX('SOP register'!$AE$4:$AE$561,MATCH('Training Matrix'!P34,'SOP register'!$AH$4:$AH$561,0)),"")</f>
        <v>45792</v>
      </c>
      <c r="O34" s="156">
        <f>IFERROR(INDEX('SOP register'!$AF$4:$AF$561,MATCH('Training Matrix'!P34,'SOP register'!$AH$4:$AH$561,0)),"")</f>
        <v>46522</v>
      </c>
      <c r="P34" s="152" t="str">
        <f t="shared" si="0"/>
        <v>Person 3_ALP.BSP.SOP.007_Sharps use and disposal</v>
      </c>
    </row>
    <row r="35" spans="2:16" x14ac:dyDescent="0.25">
      <c r="B35" s="136" t="str">
        <f>Ref!$T$9</f>
        <v>Chemical handling &amp; storage</v>
      </c>
      <c r="C35" s="143" t="str">
        <f>Ref!$S$9</f>
        <v>ALP.BSP.SOP.008</v>
      </c>
      <c r="D35" s="85"/>
      <c r="E35" s="85"/>
      <c r="F35" s="85" t="s">
        <v>164</v>
      </c>
      <c r="G35" s="85" t="s">
        <v>164</v>
      </c>
      <c r="H35" s="85" t="s">
        <v>164</v>
      </c>
      <c r="I35" s="85" t="s">
        <v>164</v>
      </c>
      <c r="J35" s="85"/>
      <c r="K35" s="85"/>
      <c r="L35" s="146"/>
      <c r="M35" s="155" t="str">
        <f t="shared" ca="1" si="1"/>
        <v>Current</v>
      </c>
      <c r="N35" s="156">
        <f>IFERROR(INDEX('SOP register'!$AE$4:$AE$561,MATCH('Training Matrix'!P35,'SOP register'!$AH$4:$AH$561,0)),"")</f>
        <v>45792</v>
      </c>
      <c r="O35" s="156">
        <f>IFERROR(INDEX('SOP register'!$AF$4:$AF$561,MATCH('Training Matrix'!P35,'SOP register'!$AH$4:$AH$561,0)),"")</f>
        <v>46522</v>
      </c>
      <c r="P35" s="152" t="str">
        <f t="shared" si="0"/>
        <v>Person 3_ALP.BSP.SOP.008_Chemical handling &amp; storage</v>
      </c>
    </row>
    <row r="36" spans="2:16" x14ac:dyDescent="0.25">
      <c r="B36" s="136" t="str">
        <f>Ref!$T$10</f>
        <v>Fume cupboard</v>
      </c>
      <c r="C36" s="143" t="str">
        <f>Ref!$S$10</f>
        <v>ALP.BSP.SOP.009</v>
      </c>
      <c r="D36" s="85"/>
      <c r="E36" s="85"/>
      <c r="F36" s="85" t="s">
        <v>164</v>
      </c>
      <c r="G36" s="85" t="s">
        <v>164</v>
      </c>
      <c r="H36" s="85" t="s">
        <v>164</v>
      </c>
      <c r="I36" s="85" t="s">
        <v>164</v>
      </c>
      <c r="J36" s="85"/>
      <c r="K36" s="85"/>
      <c r="L36" s="146"/>
      <c r="M36" s="155" t="str">
        <f t="shared" ca="1" si="1"/>
        <v>Current</v>
      </c>
      <c r="N36" s="156">
        <f>IFERROR(INDEX('SOP register'!$AE$4:$AE$561,MATCH('Training Matrix'!P36,'SOP register'!$AH$4:$AH$561,0)),"")</f>
        <v>45792</v>
      </c>
      <c r="O36" s="156">
        <f>IFERROR(INDEX('SOP register'!$AF$4:$AF$561,MATCH('Training Matrix'!P36,'SOP register'!$AH$4:$AH$561,0)),"")</f>
        <v>46522</v>
      </c>
      <c r="P36" s="152" t="str">
        <f t="shared" si="0"/>
        <v>Person 3_ALP.BSP.SOP.009_Fume cupboard</v>
      </c>
    </row>
    <row r="37" spans="2:16" x14ac:dyDescent="0.25">
      <c r="B37" s="136" t="str">
        <f>Ref!$T$11</f>
        <v>Nederman Arm</v>
      </c>
      <c r="C37" s="143" t="str">
        <f>Ref!$S$11</f>
        <v>ALP.BSP.SOP.010</v>
      </c>
      <c r="D37" s="85"/>
      <c r="E37" s="85"/>
      <c r="F37" s="85" t="s">
        <v>164</v>
      </c>
      <c r="G37" s="85" t="s">
        <v>164</v>
      </c>
      <c r="H37" s="85" t="s">
        <v>164</v>
      </c>
      <c r="I37" s="85" t="s">
        <v>164</v>
      </c>
      <c r="J37" s="85"/>
      <c r="K37" s="85"/>
      <c r="L37" s="146"/>
      <c r="M37" s="155" t="str">
        <f t="shared" ca="1" si="1"/>
        <v>Current</v>
      </c>
      <c r="N37" s="156">
        <f>IFERROR(INDEX('SOP register'!$AE$4:$AE$561,MATCH('Training Matrix'!P37,'SOP register'!$AH$4:$AH$561,0)),"")</f>
        <v>45792</v>
      </c>
      <c r="O37" s="156">
        <f>IFERROR(INDEX('SOP register'!$AF$4:$AF$561,MATCH('Training Matrix'!P37,'SOP register'!$AH$4:$AH$561,0)),"")</f>
        <v>46522</v>
      </c>
      <c r="P37" s="152" t="str">
        <f t="shared" si="0"/>
        <v>Person 3_ALP.BSP.SOP.010_Nederman Arm</v>
      </c>
    </row>
    <row r="38" spans="2:16" x14ac:dyDescent="0.25">
      <c r="B38" s="136" t="str">
        <f>Ref!$T$12</f>
        <v>Trolley / Dolley and pneumatic trolley use</v>
      </c>
      <c r="C38" s="143" t="str">
        <f>Ref!$S$12</f>
        <v>ALP.BSP.SOP.011</v>
      </c>
      <c r="D38" s="85"/>
      <c r="E38" s="85"/>
      <c r="F38" s="85" t="s">
        <v>164</v>
      </c>
      <c r="G38" s="85" t="s">
        <v>164</v>
      </c>
      <c r="H38" s="85" t="s">
        <v>164</v>
      </c>
      <c r="I38" s="85" t="s">
        <v>164</v>
      </c>
      <c r="J38" s="85"/>
      <c r="K38" s="85"/>
      <c r="L38" s="146"/>
      <c r="M38" s="155" t="str">
        <f t="shared" ca="1" si="1"/>
        <v>Current</v>
      </c>
      <c r="N38" s="156">
        <f>IFERROR(INDEX('SOP register'!$AE$4:$AE$561,MATCH('Training Matrix'!P38,'SOP register'!$AH$4:$AH$561,0)),"")</f>
        <v>45792</v>
      </c>
      <c r="O38" s="156">
        <f>IFERROR(INDEX('SOP register'!$AF$4:$AF$561,MATCH('Training Matrix'!P38,'SOP register'!$AH$4:$AH$561,0)),"")</f>
        <v>46522</v>
      </c>
      <c r="P38" s="152" t="str">
        <f t="shared" si="0"/>
        <v>Person 3_ALP.BSP.SOP.011_Trolley / Dolley and pneumatic trolley use</v>
      </c>
    </row>
    <row r="39" spans="2:16" x14ac:dyDescent="0.25">
      <c r="B39" s="136" t="str">
        <f>Ref!$T$13</f>
        <v>Soak Tank</v>
      </c>
      <c r="C39" s="143" t="str">
        <f>Ref!$S$13</f>
        <v>ALP.BSP.SOP.012</v>
      </c>
      <c r="D39" s="85"/>
      <c r="E39" s="85"/>
      <c r="F39" s="85" t="s">
        <v>164</v>
      </c>
      <c r="G39" s="85" t="s">
        <v>164</v>
      </c>
      <c r="H39" s="85" t="s">
        <v>164</v>
      </c>
      <c r="I39" s="85" t="s">
        <v>164</v>
      </c>
      <c r="J39" s="85"/>
      <c r="K39" s="85"/>
      <c r="L39" s="146"/>
      <c r="M39" s="155" t="str">
        <f t="shared" ca="1" si="1"/>
        <v>Current</v>
      </c>
      <c r="N39" s="156">
        <f>IFERROR(INDEX('SOP register'!$AE$4:$AE$561,MATCH('Training Matrix'!P39,'SOP register'!$AH$4:$AH$561,0)),"")</f>
        <v>45792</v>
      </c>
      <c r="O39" s="156">
        <f>IFERROR(INDEX('SOP register'!$AF$4:$AF$561,MATCH('Training Matrix'!P39,'SOP register'!$AH$4:$AH$561,0)),"")</f>
        <v>46522</v>
      </c>
      <c r="P39" s="152" t="str">
        <f t="shared" si="0"/>
        <v>Person 3_ALP.BSP.SOP.012_Soak Tank</v>
      </c>
    </row>
    <row r="40" spans="2:16" x14ac:dyDescent="0.25">
      <c r="B40" s="136" t="str">
        <f>Ref!$T$14</f>
        <v>Necropsy table</v>
      </c>
      <c r="C40" s="143" t="str">
        <f>Ref!$S$14</f>
        <v>ALP.BSP.SOP.013</v>
      </c>
      <c r="D40" s="85"/>
      <c r="E40" s="85"/>
      <c r="F40" s="85" t="s">
        <v>164</v>
      </c>
      <c r="G40" s="85" t="s">
        <v>164</v>
      </c>
      <c r="H40" s="85" t="s">
        <v>164</v>
      </c>
      <c r="I40" s="85" t="s">
        <v>164</v>
      </c>
      <c r="J40" s="85"/>
      <c r="K40" s="85"/>
      <c r="L40" s="146"/>
      <c r="M40" s="155" t="str">
        <f t="shared" ca="1" si="1"/>
        <v>Current</v>
      </c>
      <c r="N40" s="156">
        <f>IFERROR(INDEX('SOP register'!$AE$4:$AE$561,MATCH('Training Matrix'!P40,'SOP register'!$AH$4:$AH$561,0)),"")</f>
        <v>45792</v>
      </c>
      <c r="O40" s="156">
        <f>IFERROR(INDEX('SOP register'!$AF$4:$AF$561,MATCH('Training Matrix'!P40,'SOP register'!$AH$4:$AH$561,0)),"")</f>
        <v>46522</v>
      </c>
      <c r="P40" s="152" t="str">
        <f t="shared" si="0"/>
        <v>Person 3_ALP.BSP.SOP.013_Necropsy table</v>
      </c>
    </row>
    <row r="41" spans="2:16" x14ac:dyDescent="0.25">
      <c r="B41" s="136" t="str">
        <f>Ref!$T$15</f>
        <v>Dermestid room use</v>
      </c>
      <c r="C41" s="143" t="str">
        <f>Ref!$S$15</f>
        <v>ALP.BSP.SOP.014</v>
      </c>
      <c r="D41" s="85"/>
      <c r="E41" s="85"/>
      <c r="F41" s="85" t="s">
        <v>164</v>
      </c>
      <c r="G41" s="85" t="s">
        <v>164</v>
      </c>
      <c r="H41" s="85" t="s">
        <v>164</v>
      </c>
      <c r="I41" s="85" t="s">
        <v>164</v>
      </c>
      <c r="J41" s="85"/>
      <c r="K41" s="85"/>
      <c r="L41" s="146"/>
      <c r="M41" s="155" t="str">
        <f t="shared" ca="1" si="1"/>
        <v>Current</v>
      </c>
      <c r="N41" s="156">
        <f>IFERROR(INDEX('SOP register'!$AE$4:$AE$561,MATCH('Training Matrix'!P41,'SOP register'!$AH$4:$AH$561,0)),"")</f>
        <v>45792</v>
      </c>
      <c r="O41" s="156">
        <f>IFERROR(INDEX('SOP register'!$AF$4:$AF$561,MATCH('Training Matrix'!P41,'SOP register'!$AH$4:$AH$561,0)),"")</f>
        <v>46522</v>
      </c>
      <c r="P41" s="152" t="str">
        <f t="shared" si="0"/>
        <v>Person 3_ALP.BSP.SOP.014_Dermestid room use</v>
      </c>
    </row>
    <row r="42" spans="2:16" x14ac:dyDescent="0.25">
      <c r="B42" s="136" t="str">
        <f>Ref!$T$16</f>
        <v>General Operation and Cleaning</v>
      </c>
      <c r="C42" s="143" t="str">
        <f>Ref!$S$16</f>
        <v>ALP.BSP.SOP.015</v>
      </c>
      <c r="D42" s="85"/>
      <c r="E42" s="85"/>
      <c r="F42" s="85" t="s">
        <v>164</v>
      </c>
      <c r="G42" s="85" t="s">
        <v>164</v>
      </c>
      <c r="H42" s="85" t="s">
        <v>164</v>
      </c>
      <c r="I42" s="85" t="s">
        <v>164</v>
      </c>
      <c r="J42" s="85"/>
      <c r="K42" s="85"/>
      <c r="L42" s="146"/>
      <c r="M42" s="155" t="str">
        <f t="shared" ca="1" si="1"/>
        <v>Current</v>
      </c>
      <c r="N42" s="156">
        <f>IFERROR(INDEX('SOP register'!$AE$4:$AE$561,MATCH('Training Matrix'!P42,'SOP register'!$AH$4:$AH$561,0)),"")</f>
        <v>45792</v>
      </c>
      <c r="O42" s="156">
        <f>IFERROR(INDEX('SOP register'!$AF$4:$AF$561,MATCH('Training Matrix'!P42,'SOP register'!$AH$4:$AH$561,0)),"")</f>
        <v>46522</v>
      </c>
      <c r="P42" s="152" t="str">
        <f t="shared" si="0"/>
        <v>Person 3_ALP.BSP.SOP.015_General Operation and Cleaning</v>
      </c>
    </row>
    <row r="43" spans="2:16" x14ac:dyDescent="0.25">
      <c r="B43" s="136" t="str">
        <f>Ref!$T$17</f>
        <v>Preparation of Formalin</v>
      </c>
      <c r="C43" s="143" t="str">
        <f>Ref!$S$17</f>
        <v>ALP.BSP.SOP.016</v>
      </c>
      <c r="D43" s="85"/>
      <c r="E43" s="85"/>
      <c r="F43" s="85" t="s">
        <v>164</v>
      </c>
      <c r="G43" s="85" t="s">
        <v>164</v>
      </c>
      <c r="H43" s="85" t="s">
        <v>164</v>
      </c>
      <c r="I43" s="85" t="s">
        <v>164</v>
      </c>
      <c r="J43" s="85"/>
      <c r="K43" s="85"/>
      <c r="L43" s="146"/>
      <c r="M43" s="155" t="str">
        <f t="shared" ca="1" si="1"/>
        <v>Current</v>
      </c>
      <c r="N43" s="156">
        <f>IFERROR(INDEX('SOP register'!$AE$4:$AE$561,MATCH('Training Matrix'!P43,'SOP register'!$AH$4:$AH$561,0)),"")</f>
        <v>45792</v>
      </c>
      <c r="O43" s="156">
        <f>IFERROR(INDEX('SOP register'!$AF$4:$AF$561,MATCH('Training Matrix'!P43,'SOP register'!$AH$4:$AH$561,0)),"")</f>
        <v>46522</v>
      </c>
      <c r="P43" s="152" t="str">
        <f t="shared" si="0"/>
        <v>Person 3_ALP.BSP.SOP.016_Preparation of Formalin</v>
      </c>
    </row>
    <row r="44" spans="2:16" x14ac:dyDescent="0.25">
      <c r="B44" s="136" t="str">
        <f>Ref!$T$18</f>
        <v>Formalin fixing</v>
      </c>
      <c r="C44" s="143" t="str">
        <f>Ref!$S$18</f>
        <v>ALP.BSP.SOP.017</v>
      </c>
      <c r="D44" s="85"/>
      <c r="E44" s="85"/>
      <c r="F44" s="85" t="s">
        <v>164</v>
      </c>
      <c r="G44" s="85" t="s">
        <v>164</v>
      </c>
      <c r="H44" s="85" t="s">
        <v>164</v>
      </c>
      <c r="I44" s="85" t="s">
        <v>164</v>
      </c>
      <c r="J44" s="85"/>
      <c r="K44" s="85"/>
      <c r="L44" s="146"/>
      <c r="M44" s="155" t="str">
        <f t="shared" ca="1" si="1"/>
        <v>Current</v>
      </c>
      <c r="N44" s="156">
        <f>IFERROR(INDEX('SOP register'!$AE$4:$AE$561,MATCH('Training Matrix'!P44,'SOP register'!$AH$4:$AH$561,0)),"")</f>
        <v>45792</v>
      </c>
      <c r="O44" s="156">
        <f>IFERROR(INDEX('SOP register'!$AF$4:$AF$561,MATCH('Training Matrix'!P44,'SOP register'!$AH$4:$AH$561,0)),"")</f>
        <v>46522</v>
      </c>
      <c r="P44" s="152" t="str">
        <f t="shared" si="0"/>
        <v>Person 3_ALP.BSP.SOP.017_Formalin fixing</v>
      </c>
    </row>
    <row r="45" spans="2:16" x14ac:dyDescent="0.25">
      <c r="B45" s="136" t="str">
        <f>Ref!$T$19</f>
        <v>Specimen Preparation</v>
      </c>
      <c r="C45" s="143" t="str">
        <f>Ref!$S$19</f>
        <v>ALP.BSP.SOP.018</v>
      </c>
      <c r="D45" s="85"/>
      <c r="E45" s="85"/>
      <c r="F45" s="85" t="s">
        <v>164</v>
      </c>
      <c r="G45" s="85" t="s">
        <v>164</v>
      </c>
      <c r="H45" s="85" t="s">
        <v>164</v>
      </c>
      <c r="I45" s="85" t="s">
        <v>164</v>
      </c>
      <c r="J45" s="85"/>
      <c r="K45" s="85"/>
      <c r="L45" s="146"/>
      <c r="M45" s="155" t="str">
        <f t="shared" ca="1" si="1"/>
        <v>Current</v>
      </c>
      <c r="N45" s="156">
        <f>IFERROR(INDEX('SOP register'!$AE$4:$AE$561,MATCH('Training Matrix'!P45,'SOP register'!$AH$4:$AH$561,0)),"")</f>
        <v>45792</v>
      </c>
      <c r="O45" s="156">
        <f>IFERROR(INDEX('SOP register'!$AF$4:$AF$561,MATCH('Training Matrix'!P45,'SOP register'!$AH$4:$AH$561,0)),"")</f>
        <v>46522</v>
      </c>
      <c r="P45" s="152" t="str">
        <f t="shared" si="0"/>
        <v>Person 3_ALP.BSP.SOP.018_Specimen Preparation</v>
      </c>
    </row>
    <row r="46" spans="2:16" x14ac:dyDescent="0.25">
      <c r="B46" s="136" t="str">
        <f>Ref!$T$20</f>
        <v>Decontamination</v>
      </c>
      <c r="C46" s="143" t="str">
        <f>Ref!$S$20</f>
        <v>ALP.BSP.SOP.019</v>
      </c>
      <c r="D46" s="85"/>
      <c r="E46" s="85"/>
      <c r="F46" s="85" t="s">
        <v>164</v>
      </c>
      <c r="G46" s="85" t="s">
        <v>164</v>
      </c>
      <c r="H46" s="85" t="s">
        <v>164</v>
      </c>
      <c r="I46" s="85" t="s">
        <v>164</v>
      </c>
      <c r="J46" s="85"/>
      <c r="K46" s="85"/>
      <c r="L46" s="146"/>
      <c r="M46" s="155" t="str">
        <f t="shared" ca="1" si="1"/>
        <v>Current</v>
      </c>
      <c r="N46" s="156">
        <f>IFERROR(INDEX('SOP register'!$AE$4:$AE$561,MATCH('Training Matrix'!P46,'SOP register'!$AH$4:$AH$561,0)),"")</f>
        <v>45792</v>
      </c>
      <c r="O46" s="156">
        <f>IFERROR(INDEX('SOP register'!$AF$4:$AF$561,MATCH('Training Matrix'!P46,'SOP register'!$AH$4:$AH$561,0)),"")</f>
        <v>46522</v>
      </c>
      <c r="P46" s="152" t="str">
        <f t="shared" si="0"/>
        <v>Person 3_ALP.BSP.SOP.019_Decontamination</v>
      </c>
    </row>
    <row r="47" spans="2:16" x14ac:dyDescent="0.25">
      <c r="B47" s="136" t="str">
        <f>Ref!$T$21</f>
        <v>Moving soiled laundry for collection</v>
      </c>
      <c r="C47" s="143" t="str">
        <f>Ref!$S$21</f>
        <v>ALP.BSP.SOP.020</v>
      </c>
      <c r="D47" s="85" t="s">
        <v>164</v>
      </c>
      <c r="E47" s="85" t="s">
        <v>164</v>
      </c>
      <c r="F47" s="85" t="s">
        <v>164</v>
      </c>
      <c r="G47" s="85" t="s">
        <v>164</v>
      </c>
      <c r="H47" s="85" t="s">
        <v>164</v>
      </c>
      <c r="I47" s="85" t="s">
        <v>164</v>
      </c>
      <c r="J47" s="85"/>
      <c r="K47" s="85"/>
      <c r="L47" s="146"/>
      <c r="M47" s="155" t="str">
        <f t="shared" ca="1" si="1"/>
        <v>Current</v>
      </c>
      <c r="N47" s="156">
        <f>IFERROR(INDEX('SOP register'!$AE$4:$AE$561,MATCH('Training Matrix'!P47,'SOP register'!$AH$4:$AH$561,0)),"")</f>
        <v>45792</v>
      </c>
      <c r="O47" s="156">
        <f>IFERROR(INDEX('SOP register'!$AF$4:$AF$561,MATCH('Training Matrix'!P47,'SOP register'!$AH$4:$AH$561,0)),"")</f>
        <v>46522</v>
      </c>
      <c r="P47" s="152" t="str">
        <f t="shared" si="0"/>
        <v>Person 3_ALP.BSP.SOP.020_Moving soiled laundry for collection</v>
      </c>
    </row>
    <row r="48" spans="2:16" x14ac:dyDescent="0.25">
      <c r="B48" s="136" t="str">
        <f>Ref!$T$22</f>
        <v>Biological Spill Response within Kurilpa Museum</v>
      </c>
      <c r="C48" s="143" t="str">
        <f>Ref!$S$22</f>
        <v>ALP.BSP.SOP.021</v>
      </c>
      <c r="D48" s="85"/>
      <c r="E48" s="85" t="s">
        <v>164</v>
      </c>
      <c r="F48" s="85" t="s">
        <v>164</v>
      </c>
      <c r="G48" s="85" t="s">
        <v>164</v>
      </c>
      <c r="H48" s="85" t="s">
        <v>164</v>
      </c>
      <c r="I48" s="85" t="s">
        <v>164</v>
      </c>
      <c r="J48" s="85"/>
      <c r="K48" s="85"/>
      <c r="L48" s="146"/>
      <c r="M48" s="155" t="str">
        <f t="shared" ca="1" si="1"/>
        <v>Current</v>
      </c>
      <c r="N48" s="156">
        <f>IFERROR(INDEX('SOP register'!$AE$4:$AE$561,MATCH('Training Matrix'!P48,'SOP register'!$AH$4:$AH$561,0)),"")</f>
        <v>45792</v>
      </c>
      <c r="O48" s="156">
        <f>IFERROR(INDEX('SOP register'!$AF$4:$AF$561,MATCH('Training Matrix'!P48,'SOP register'!$AH$4:$AH$561,0)),"")</f>
        <v>46522</v>
      </c>
      <c r="P48" s="152" t="str">
        <f t="shared" si="0"/>
        <v>Person 3_ALP.BSP.SOP.021_Biological Spill Response within Kurilpa Museum</v>
      </c>
    </row>
    <row r="49" spans="2:16" x14ac:dyDescent="0.25">
      <c r="B49" s="136" t="str">
        <f>Ref!$T23</f>
        <v>Test Emergency Shower and Eyewash</v>
      </c>
      <c r="C49" s="143" t="str">
        <f>Ref!$S23</f>
        <v>ALP.BSP.SOP.022</v>
      </c>
      <c r="D49" s="85"/>
      <c r="E49" s="85" t="s">
        <v>164</v>
      </c>
      <c r="F49" s="85" t="s">
        <v>164</v>
      </c>
      <c r="G49" s="85" t="s">
        <v>164</v>
      </c>
      <c r="H49" s="85" t="s">
        <v>164</v>
      </c>
      <c r="I49" s="85" t="s">
        <v>164</v>
      </c>
      <c r="J49" s="85"/>
      <c r="K49" s="85"/>
      <c r="L49" s="146"/>
      <c r="M49" s="155" t="str">
        <f t="shared" ca="1" si="1"/>
        <v>Current</v>
      </c>
      <c r="N49" s="156">
        <f>IFERROR(INDEX('SOP register'!$AE$4:$AE$561,MATCH('Training Matrix'!P49,'SOP register'!$AH$4:$AH$561,0)),"")</f>
        <v>45792</v>
      </c>
      <c r="O49" s="156">
        <f>IFERROR(INDEX('SOP register'!$AF$4:$AF$561,MATCH('Training Matrix'!P49,'SOP register'!$AH$4:$AH$561,0)),"")</f>
        <v>46522</v>
      </c>
      <c r="P49" s="152" t="str">
        <f t="shared" si="0"/>
        <v>Person 3_ALP.BSP.SOP.022_Test Emergency Shower and Eyewash</v>
      </c>
    </row>
    <row r="50" spans="2:16" x14ac:dyDescent="0.25">
      <c r="B50" s="136" t="str">
        <f>Ref!$T24</f>
        <v>Biological Spill Response</v>
      </c>
      <c r="C50" s="143" t="str">
        <f>Ref!$S24</f>
        <v>ALP.BSP.SOP.023</v>
      </c>
      <c r="D50" s="85"/>
      <c r="E50" s="85" t="s">
        <v>164</v>
      </c>
      <c r="F50" s="85" t="s">
        <v>164</v>
      </c>
      <c r="G50" s="85" t="s">
        <v>164</v>
      </c>
      <c r="H50" s="85" t="s">
        <v>164</v>
      </c>
      <c r="I50" s="85"/>
      <c r="J50" s="85"/>
      <c r="K50" s="85"/>
      <c r="L50" s="146"/>
      <c r="M50" s="155" t="str">
        <f t="shared" ca="1" si="1"/>
        <v>Current</v>
      </c>
      <c r="N50" s="156">
        <f>IFERROR(INDEX('SOP register'!$AE$4:$AE$561,MATCH('Training Matrix'!P50,'SOP register'!$AH$4:$AH$561,0)),"")</f>
        <v>45792</v>
      </c>
      <c r="O50" s="156">
        <f>IFERROR(INDEX('SOP register'!$AF$4:$AF$561,MATCH('Training Matrix'!P50,'SOP register'!$AH$4:$AH$561,0)),"")</f>
        <v>46522</v>
      </c>
      <c r="P50" s="152" t="str">
        <f t="shared" si="0"/>
        <v>Person 3_ALP.BSP.SOP.023_Biological Spill Response</v>
      </c>
    </row>
    <row r="51" spans="2:16" x14ac:dyDescent="0.25">
      <c r="B51" s="136">
        <f>Ref!$T25</f>
        <v>0</v>
      </c>
      <c r="C51" s="143" t="str">
        <f>Ref!$S25</f>
        <v>..SOP.024</v>
      </c>
      <c r="D51" s="85"/>
      <c r="E51" s="85"/>
      <c r="F51" s="85"/>
      <c r="G51" s="85"/>
      <c r="H51" s="85"/>
      <c r="I51" s="85"/>
      <c r="J51" s="85"/>
      <c r="K51" s="85"/>
      <c r="L51" s="146"/>
      <c r="M51" s="155" t="str">
        <f t="shared" ca="1" si="1"/>
        <v/>
      </c>
      <c r="N51" s="156" t="str">
        <f>IFERROR(INDEX('SOP register'!$AE$4:$AE$561,MATCH('Training Matrix'!P51,'SOP register'!$AH$4:$AH$561,0)),"")</f>
        <v/>
      </c>
      <c r="O51" s="156" t="str">
        <f>IFERROR(INDEX('SOP register'!$AF$4:$AF$561,MATCH('Training Matrix'!P51,'SOP register'!$AH$4:$AH$561,0)),"")</f>
        <v/>
      </c>
      <c r="P51" s="152" t="str">
        <f t="shared" si="0"/>
        <v>Person 3_..SOP.024_0</v>
      </c>
    </row>
    <row r="52" spans="2:16" x14ac:dyDescent="0.25">
      <c r="B52" s="136">
        <f>Ref!$T26</f>
        <v>0</v>
      </c>
      <c r="C52" s="143" t="str">
        <f>Ref!$S26</f>
        <v>..SOP.025</v>
      </c>
      <c r="D52" s="85"/>
      <c r="E52" s="85"/>
      <c r="F52" s="85"/>
      <c r="G52" s="85"/>
      <c r="H52" s="85"/>
      <c r="I52" s="85"/>
      <c r="J52" s="85"/>
      <c r="K52" s="85"/>
      <c r="L52" s="146"/>
      <c r="M52" s="155" t="str">
        <f t="shared" ca="1" si="1"/>
        <v/>
      </c>
      <c r="N52" s="156" t="str">
        <f>IFERROR(INDEX('SOP register'!$AE$4:$AE$561,MATCH('Training Matrix'!P52,'SOP register'!$AH$4:$AH$561,0)),"")</f>
        <v/>
      </c>
      <c r="O52" s="156" t="str">
        <f>IFERROR(INDEX('SOP register'!$AF$4:$AF$561,MATCH('Training Matrix'!P52,'SOP register'!$AH$4:$AH$561,0)),"")</f>
        <v/>
      </c>
      <c r="P52" s="152" t="str">
        <f t="shared" si="0"/>
        <v>Person 3_..SOP.025_0</v>
      </c>
    </row>
    <row r="53" spans="2:16" x14ac:dyDescent="0.25">
      <c r="B53" s="136">
        <f>Ref!$T27</f>
        <v>0</v>
      </c>
      <c r="C53" s="143" t="str">
        <f>Ref!$S27</f>
        <v>..SOP.026</v>
      </c>
      <c r="D53" s="85"/>
      <c r="E53" s="85"/>
      <c r="F53" s="85"/>
      <c r="G53" s="85"/>
      <c r="H53" s="85"/>
      <c r="I53" s="85"/>
      <c r="J53" s="85"/>
      <c r="K53" s="85"/>
      <c r="L53" s="146"/>
      <c r="M53" s="155" t="str">
        <f t="shared" ca="1" si="1"/>
        <v/>
      </c>
      <c r="N53" s="156" t="str">
        <f>IFERROR(INDEX('SOP register'!$AE$4:$AE$561,MATCH('Training Matrix'!P53,'SOP register'!$AH$4:$AH$561,0)),"")</f>
        <v/>
      </c>
      <c r="O53" s="156" t="str">
        <f>IFERROR(INDEX('SOP register'!$AF$4:$AF$561,MATCH('Training Matrix'!P53,'SOP register'!$AH$4:$AH$561,0)),"")</f>
        <v/>
      </c>
      <c r="P53" s="152" t="str">
        <f t="shared" si="0"/>
        <v>Person 3_..SOP.026_0</v>
      </c>
    </row>
    <row r="54" spans="2:16" x14ac:dyDescent="0.25">
      <c r="B54" s="136">
        <f>Ref!$T28</f>
        <v>0</v>
      </c>
      <c r="C54" s="143" t="str">
        <f>Ref!$S28</f>
        <v>..SOP.027</v>
      </c>
      <c r="D54" s="85"/>
      <c r="E54" s="85"/>
      <c r="F54" s="85"/>
      <c r="G54" s="85"/>
      <c r="H54" s="85"/>
      <c r="I54" s="85"/>
      <c r="J54" s="85"/>
      <c r="K54" s="85"/>
      <c r="L54" s="146"/>
      <c r="M54" s="155" t="str">
        <f t="shared" ca="1" si="1"/>
        <v/>
      </c>
      <c r="N54" s="156" t="str">
        <f>IFERROR(INDEX('SOP register'!$AE$4:$AE$561,MATCH('Training Matrix'!P54,'SOP register'!$AH$4:$AH$561,0)),"")</f>
        <v/>
      </c>
      <c r="O54" s="156" t="str">
        <f>IFERROR(INDEX('SOP register'!$AF$4:$AF$561,MATCH('Training Matrix'!P54,'SOP register'!$AH$4:$AH$561,0)),"")</f>
        <v/>
      </c>
      <c r="P54" s="152" t="str">
        <f t="shared" si="0"/>
        <v>Person 3_..SOP.027_0</v>
      </c>
    </row>
    <row r="55" spans="2:16" x14ac:dyDescent="0.25">
      <c r="B55" s="136">
        <f>Ref!$T29</f>
        <v>0</v>
      </c>
      <c r="C55" s="143" t="str">
        <f>Ref!$S29</f>
        <v>..SOP.028</v>
      </c>
      <c r="D55" s="85"/>
      <c r="E55" s="85"/>
      <c r="F55" s="85"/>
      <c r="G55" s="85"/>
      <c r="H55" s="85"/>
      <c r="I55" s="85"/>
      <c r="J55" s="85"/>
      <c r="K55" s="85"/>
      <c r="L55" s="146"/>
      <c r="M55" s="155" t="str">
        <f t="shared" ca="1" si="1"/>
        <v/>
      </c>
      <c r="N55" s="156" t="str">
        <f>IFERROR(INDEX('SOP register'!$AE$4:$AE$561,MATCH('Training Matrix'!P55,'SOP register'!$AH$4:$AH$561,0)),"")</f>
        <v/>
      </c>
      <c r="O55" s="156" t="str">
        <f>IFERROR(INDEX('SOP register'!$AF$4:$AF$561,MATCH('Training Matrix'!P55,'SOP register'!$AH$4:$AH$561,0)),"")</f>
        <v/>
      </c>
      <c r="P55" s="152" t="str">
        <f t="shared" si="0"/>
        <v>Person 3_..SOP.028_0</v>
      </c>
    </row>
    <row r="56" spans="2:16" x14ac:dyDescent="0.25">
      <c r="B56" s="136">
        <f>Ref!$T30</f>
        <v>0</v>
      </c>
      <c r="C56" s="143" t="str">
        <f>Ref!$S30</f>
        <v>..SOP.029</v>
      </c>
      <c r="D56" s="85"/>
      <c r="E56" s="85"/>
      <c r="F56" s="85"/>
      <c r="G56" s="85"/>
      <c r="H56" s="85"/>
      <c r="I56" s="85"/>
      <c r="J56" s="85"/>
      <c r="K56" s="85"/>
      <c r="L56" s="146"/>
      <c r="M56" s="155" t="str">
        <f t="shared" ca="1" si="1"/>
        <v/>
      </c>
      <c r="N56" s="156"/>
      <c r="O56" s="156"/>
      <c r="P56" s="152"/>
    </row>
    <row r="57" spans="2:16" x14ac:dyDescent="0.25">
      <c r="B57" s="136">
        <f>Ref!$T31</f>
        <v>0</v>
      </c>
      <c r="C57" s="143" t="str">
        <f>Ref!$S31</f>
        <v>..SOP.030</v>
      </c>
      <c r="D57" s="85"/>
      <c r="E57" s="85"/>
      <c r="F57" s="85"/>
      <c r="G57" s="85"/>
      <c r="H57" s="85"/>
      <c r="I57" s="85"/>
      <c r="J57" s="85"/>
      <c r="K57" s="85"/>
      <c r="L57" s="146"/>
      <c r="M57" s="155" t="str">
        <f t="shared" ca="1" si="1"/>
        <v/>
      </c>
      <c r="N57" s="156"/>
      <c r="O57" s="156"/>
      <c r="P57" s="152"/>
    </row>
    <row r="58" spans="2:16" x14ac:dyDescent="0.25">
      <c r="B58" s="83"/>
      <c r="C58" s="134"/>
    </row>
  </sheetData>
  <sheetProtection algorithmName="SHA-512" hashValue="62GtruKwS4gCsToFF3o7WPFEngpl5acslYeOLSzC59PPG/1f6XgfctE49t/p3AZcHWP1uDapjGWIrhm+nNh9pA==" saltValue="oEHFxkmbntLIArZ8KQDk6A==" spinCount="100000" sheet="1" objects="1" scenarios="1"/>
  <mergeCells count="1">
    <mergeCell ref="D25:I25"/>
  </mergeCells>
  <conditionalFormatting sqref="M28:M57">
    <cfRule type="containsText" dxfId="85" priority="1" operator="containsText" text="Current">
      <formula>NOT(ISERROR(SEARCH("Current",M28)))</formula>
    </cfRule>
    <cfRule type="containsText" dxfId="84" priority="2" operator="containsText" text="Overdue">
      <formula>NOT(ISERROR(SEARCH("Overdue",M28)))</formula>
    </cfRule>
  </conditionalFormatting>
  <dataValidations count="2">
    <dataValidation type="list" allowBlank="1" showInputMessage="1" showErrorMessage="1" sqref="C4:C22" xr:uid="{49DD1863-5D9F-44B5-8349-C42029C8E82B}">
      <formula1>$D$26:$K$26</formula1>
    </dataValidation>
    <dataValidation type="list" allowBlank="1" showInputMessage="1" showErrorMessage="1" sqref="N3:O22 O23:O24 O2 N24" xr:uid="{11EFBB34-3A9A-46EA-8940-D757D581E5E8}">
      <formula1>$B$4:$B$24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80FB-0179-4EEA-B379-98A357DE945D}">
  <sheetPr>
    <pageSetUpPr fitToPage="1"/>
  </sheetPr>
  <dimension ref="A1:M90"/>
  <sheetViews>
    <sheetView zoomScale="90" zoomScaleNormal="90" workbookViewId="0">
      <selection activeCell="H8" sqref="H8"/>
    </sheetView>
  </sheetViews>
  <sheetFormatPr defaultRowHeight="15" x14ac:dyDescent="0.25"/>
  <cols>
    <col min="1" max="1" width="6.42578125" customWidth="1"/>
    <col min="2" max="2" width="4.5703125" customWidth="1"/>
    <col min="3" max="4" width="8.5703125" customWidth="1"/>
    <col min="5" max="5" width="18.5703125" customWidth="1"/>
    <col min="6" max="6" width="9.5703125" customWidth="1"/>
    <col min="7" max="7" width="6.5703125" customWidth="1"/>
    <col min="8" max="12" width="18.5703125" customWidth="1"/>
  </cols>
  <sheetData>
    <row r="1" spans="1:13" x14ac:dyDescent="0.25">
      <c r="A1" s="6"/>
      <c r="B1" s="6"/>
      <c r="C1" s="6"/>
      <c r="D1" s="6"/>
      <c r="E1" s="6"/>
      <c r="F1" s="6"/>
      <c r="G1" s="6"/>
      <c r="H1" s="6"/>
      <c r="I1" s="6"/>
      <c r="J1" s="6"/>
      <c r="K1" s="6"/>
      <c r="L1" s="6"/>
      <c r="M1" s="7"/>
    </row>
    <row r="2" spans="1:13" ht="18.75" x14ac:dyDescent="0.3">
      <c r="A2" s="6"/>
      <c r="B2" s="6"/>
      <c r="C2" s="341" t="s">
        <v>403</v>
      </c>
      <c r="D2" s="341"/>
      <c r="E2" s="341"/>
      <c r="F2" s="341"/>
      <c r="G2" s="341"/>
      <c r="H2" s="341"/>
      <c r="I2" s="341"/>
      <c r="J2" s="341"/>
      <c r="K2" s="341"/>
      <c r="L2" s="6"/>
      <c r="M2" s="6"/>
    </row>
    <row r="3" spans="1:13" ht="15.75" x14ac:dyDescent="0.25">
      <c r="A3" s="8"/>
      <c r="B3" s="9"/>
      <c r="C3" s="8"/>
      <c r="D3" s="8"/>
      <c r="E3" s="8"/>
      <c r="F3" s="8"/>
      <c r="G3" s="8"/>
      <c r="H3" s="8"/>
      <c r="I3" s="8"/>
      <c r="J3" s="8"/>
      <c r="K3" s="8"/>
      <c r="L3" s="8"/>
      <c r="M3" s="6"/>
    </row>
    <row r="4" spans="1:13" ht="23.1" customHeight="1" x14ac:dyDescent="0.3">
      <c r="A4" s="10"/>
      <c r="B4" s="342" t="s">
        <v>404</v>
      </c>
      <c r="C4" s="342"/>
      <c r="D4" s="342"/>
      <c r="E4" s="342"/>
      <c r="F4" s="342"/>
      <c r="G4" s="11"/>
      <c r="H4" s="343" t="s">
        <v>74</v>
      </c>
      <c r="I4" s="343"/>
      <c r="J4" s="343"/>
      <c r="K4" s="343"/>
      <c r="L4" s="343"/>
      <c r="M4" s="12"/>
    </row>
    <row r="5" spans="1:13" ht="54" customHeight="1" x14ac:dyDescent="0.25">
      <c r="A5" s="10"/>
      <c r="B5" s="352" t="s">
        <v>180</v>
      </c>
      <c r="C5" s="353"/>
      <c r="D5" s="353"/>
      <c r="E5" s="353"/>
      <c r="F5" s="353"/>
      <c r="G5" s="354"/>
      <c r="H5" s="13" t="s">
        <v>181</v>
      </c>
      <c r="I5" s="13" t="s">
        <v>182</v>
      </c>
      <c r="J5" s="13" t="s">
        <v>183</v>
      </c>
      <c r="K5" s="13" t="s">
        <v>184</v>
      </c>
      <c r="L5" s="13" t="s">
        <v>185</v>
      </c>
      <c r="M5" s="12"/>
    </row>
    <row r="6" spans="1:13" ht="24" customHeight="1" x14ac:dyDescent="0.25">
      <c r="A6" s="10"/>
      <c r="B6" s="355"/>
      <c r="C6" s="356"/>
      <c r="D6" s="356"/>
      <c r="E6" s="356"/>
      <c r="F6" s="356"/>
      <c r="G6" s="357"/>
      <c r="H6" s="14" t="s">
        <v>186</v>
      </c>
      <c r="I6" s="14" t="s">
        <v>187</v>
      </c>
      <c r="J6" s="14" t="s">
        <v>90</v>
      </c>
      <c r="K6" s="14" t="s">
        <v>91</v>
      </c>
      <c r="L6" s="14" t="s">
        <v>188</v>
      </c>
      <c r="M6" s="12"/>
    </row>
    <row r="7" spans="1:13" ht="36" customHeight="1" x14ac:dyDescent="0.25">
      <c r="A7" s="10"/>
      <c r="B7" s="344" t="s">
        <v>73</v>
      </c>
      <c r="C7" s="346" t="s">
        <v>189</v>
      </c>
      <c r="D7" s="347"/>
      <c r="E7" s="348"/>
      <c r="F7" s="205" t="s">
        <v>190</v>
      </c>
      <c r="G7" s="206"/>
      <c r="H7" s="202" t="s">
        <v>191</v>
      </c>
      <c r="I7" s="202" t="s">
        <v>191</v>
      </c>
      <c r="J7" s="203" t="s">
        <v>192</v>
      </c>
      <c r="K7" s="203" t="s">
        <v>192</v>
      </c>
      <c r="L7" s="204" t="s">
        <v>193</v>
      </c>
      <c r="M7" s="12"/>
    </row>
    <row r="8" spans="1:13" ht="36" customHeight="1" x14ac:dyDescent="0.25">
      <c r="A8" s="10"/>
      <c r="B8" s="345"/>
      <c r="C8" s="349" t="s">
        <v>194</v>
      </c>
      <c r="D8" s="350"/>
      <c r="E8" s="351"/>
      <c r="F8" s="121" t="s">
        <v>195</v>
      </c>
      <c r="G8" s="122"/>
      <c r="H8" s="202" t="s">
        <v>191</v>
      </c>
      <c r="I8" s="202" t="s">
        <v>191</v>
      </c>
      <c r="J8" s="203" t="s">
        <v>192</v>
      </c>
      <c r="K8" s="204" t="s">
        <v>193</v>
      </c>
      <c r="L8" s="204" t="s">
        <v>193</v>
      </c>
      <c r="M8" s="12"/>
    </row>
    <row r="9" spans="1:13" ht="36" customHeight="1" x14ac:dyDescent="0.25">
      <c r="A9" s="10"/>
      <c r="B9" s="345"/>
      <c r="C9" s="349" t="s">
        <v>196</v>
      </c>
      <c r="D9" s="350"/>
      <c r="E9" s="351"/>
      <c r="F9" s="121" t="s">
        <v>92</v>
      </c>
      <c r="G9" s="122"/>
      <c r="H9" s="203" t="s">
        <v>192</v>
      </c>
      <c r="I9" s="203" t="s">
        <v>192</v>
      </c>
      <c r="J9" s="204" t="s">
        <v>193</v>
      </c>
      <c r="K9" s="204" t="s">
        <v>193</v>
      </c>
      <c r="L9" s="18" t="s">
        <v>197</v>
      </c>
      <c r="M9" s="12"/>
    </row>
    <row r="10" spans="1:13" ht="36" customHeight="1" x14ac:dyDescent="0.25">
      <c r="A10" s="10"/>
      <c r="B10" s="345"/>
      <c r="C10" s="349" t="s">
        <v>198</v>
      </c>
      <c r="D10" s="350"/>
      <c r="E10" s="351"/>
      <c r="F10" s="121" t="s">
        <v>89</v>
      </c>
      <c r="G10" s="122"/>
      <c r="H10" s="204" t="s">
        <v>193</v>
      </c>
      <c r="I10" s="204" t="s">
        <v>193</v>
      </c>
      <c r="J10" s="204" t="s">
        <v>193</v>
      </c>
      <c r="K10" s="18" t="s">
        <v>197</v>
      </c>
      <c r="L10" s="18" t="s">
        <v>197</v>
      </c>
      <c r="M10" s="12"/>
    </row>
    <row r="11" spans="1:13" ht="36" customHeight="1" x14ac:dyDescent="0.25">
      <c r="A11" s="10"/>
      <c r="B11" s="345"/>
      <c r="C11" s="349" t="s">
        <v>199</v>
      </c>
      <c r="D11" s="350"/>
      <c r="E11" s="351"/>
      <c r="F11" s="123" t="s">
        <v>93</v>
      </c>
      <c r="G11" s="124"/>
      <c r="H11" s="204" t="s">
        <v>193</v>
      </c>
      <c r="I11" s="18" t="s">
        <v>197</v>
      </c>
      <c r="J11" s="18" t="s">
        <v>197</v>
      </c>
      <c r="K11" s="18" t="s">
        <v>197</v>
      </c>
      <c r="L11" s="18" t="s">
        <v>197</v>
      </c>
      <c r="M11" s="12"/>
    </row>
    <row r="12" spans="1:13" x14ac:dyDescent="0.25">
      <c r="A12" s="10"/>
      <c r="B12" s="19"/>
      <c r="C12" s="19"/>
      <c r="D12" s="19"/>
      <c r="E12" s="19"/>
      <c r="F12" s="19"/>
      <c r="G12" s="19"/>
      <c r="H12" s="19"/>
      <c r="I12" s="19"/>
      <c r="J12" s="19"/>
      <c r="K12" s="19"/>
      <c r="L12" s="20"/>
      <c r="M12" s="12"/>
    </row>
    <row r="13" spans="1:13" x14ac:dyDescent="0.25">
      <c r="A13" s="10"/>
      <c r="B13" s="6"/>
      <c r="C13" s="21"/>
      <c r="D13" s="21"/>
      <c r="E13" s="21"/>
      <c r="F13" s="21"/>
      <c r="G13" s="21"/>
      <c r="H13" s="21"/>
      <c r="I13" s="21"/>
      <c r="J13" s="21"/>
      <c r="K13" s="21"/>
      <c r="L13" s="22"/>
      <c r="M13" s="12"/>
    </row>
    <row r="14" spans="1:13" ht="23.85" customHeight="1" x14ac:dyDescent="0.25">
      <c r="A14" s="10"/>
      <c r="B14" s="23"/>
      <c r="C14" s="333" t="s">
        <v>200</v>
      </c>
      <c r="D14" s="334"/>
      <c r="E14" s="335" t="s">
        <v>201</v>
      </c>
      <c r="F14" s="335"/>
      <c r="G14" s="336" t="s">
        <v>202</v>
      </c>
      <c r="H14" s="337"/>
      <c r="I14" s="337"/>
      <c r="J14" s="337"/>
      <c r="K14" s="338"/>
      <c r="L14" s="24"/>
      <c r="M14" s="12"/>
    </row>
    <row r="15" spans="1:13" ht="29.1" customHeight="1" x14ac:dyDescent="0.25">
      <c r="A15" s="10"/>
      <c r="B15" s="23"/>
      <c r="C15" s="339" t="s">
        <v>203</v>
      </c>
      <c r="D15" s="340"/>
      <c r="E15" s="317" t="s">
        <v>204</v>
      </c>
      <c r="F15" s="317"/>
      <c r="G15" s="318" t="s">
        <v>205</v>
      </c>
      <c r="H15" s="319"/>
      <c r="I15" s="319"/>
      <c r="J15" s="319"/>
      <c r="K15" s="320"/>
      <c r="L15" s="25"/>
      <c r="M15" s="12"/>
    </row>
    <row r="16" spans="1:13" ht="29.1" customHeight="1" x14ac:dyDescent="0.25">
      <c r="A16" s="10"/>
      <c r="B16" s="23"/>
      <c r="C16" s="329" t="s">
        <v>206</v>
      </c>
      <c r="D16" s="330"/>
      <c r="E16" s="317" t="s">
        <v>204</v>
      </c>
      <c r="F16" s="317"/>
      <c r="G16" s="318" t="s">
        <v>207</v>
      </c>
      <c r="H16" s="319"/>
      <c r="I16" s="319"/>
      <c r="J16" s="319"/>
      <c r="K16" s="320"/>
      <c r="L16" s="25"/>
      <c r="M16" s="12"/>
    </row>
    <row r="17" spans="1:13" ht="29.1" customHeight="1" x14ac:dyDescent="0.25">
      <c r="A17" s="10"/>
      <c r="B17" s="23"/>
      <c r="C17" s="331" t="s">
        <v>208</v>
      </c>
      <c r="D17" s="332"/>
      <c r="E17" s="317" t="s">
        <v>209</v>
      </c>
      <c r="F17" s="317"/>
      <c r="G17" s="318" t="s">
        <v>210</v>
      </c>
      <c r="H17" s="319"/>
      <c r="I17" s="319"/>
      <c r="J17" s="319"/>
      <c r="K17" s="320"/>
      <c r="L17" s="25"/>
      <c r="M17" s="12"/>
    </row>
    <row r="18" spans="1:13" ht="29.1" customHeight="1" x14ac:dyDescent="0.25">
      <c r="A18" s="10"/>
      <c r="B18" s="23"/>
      <c r="C18" s="315" t="s">
        <v>211</v>
      </c>
      <c r="D18" s="316"/>
      <c r="E18" s="317" t="s">
        <v>212</v>
      </c>
      <c r="F18" s="317"/>
      <c r="G18" s="318" t="s">
        <v>213</v>
      </c>
      <c r="H18" s="319"/>
      <c r="I18" s="319"/>
      <c r="J18" s="319"/>
      <c r="K18" s="320"/>
      <c r="L18" s="25"/>
      <c r="M18" s="12"/>
    </row>
    <row r="19" spans="1:13" x14ac:dyDescent="0.25">
      <c r="A19" s="26"/>
      <c r="B19" s="8"/>
      <c r="C19" s="27"/>
      <c r="D19" s="27"/>
      <c r="E19" s="27"/>
      <c r="F19" s="27"/>
      <c r="G19" s="27"/>
      <c r="H19" s="27"/>
      <c r="I19" s="27"/>
      <c r="J19" s="27"/>
      <c r="K19" s="27"/>
      <c r="L19" s="27"/>
      <c r="M19" s="22"/>
    </row>
    <row r="20" spans="1:13" ht="15.75" x14ac:dyDescent="0.25">
      <c r="A20" s="27"/>
      <c r="C20" s="34" t="s">
        <v>214</v>
      </c>
      <c r="D20" s="34"/>
      <c r="M20" s="35" t="s">
        <v>166</v>
      </c>
    </row>
    <row r="21" spans="1:13" ht="15.75" thickBot="1" x14ac:dyDescent="0.3">
      <c r="A21" s="27"/>
      <c r="M21" s="35" t="s">
        <v>173</v>
      </c>
    </row>
    <row r="22" spans="1:13" ht="15.75" thickBot="1" x14ac:dyDescent="0.3">
      <c r="B22" s="233"/>
      <c r="C22" s="36" t="s">
        <v>215</v>
      </c>
      <c r="D22" s="327" t="s">
        <v>62</v>
      </c>
      <c r="E22" s="327"/>
      <c r="F22" s="328"/>
      <c r="H22" s="37" t="s">
        <v>216</v>
      </c>
      <c r="I22" s="38" t="s">
        <v>215</v>
      </c>
      <c r="J22" s="39" t="s">
        <v>217</v>
      </c>
      <c r="K22" s="40"/>
      <c r="L22" s="41"/>
      <c r="M22" s="35" t="s">
        <v>306</v>
      </c>
    </row>
    <row r="23" spans="1:13" x14ac:dyDescent="0.25">
      <c r="B23" s="42" t="str">
        <f>IF(C23="Yes",MAX($B22:$B$23)+1,"")</f>
        <v/>
      </c>
      <c r="C23" s="234"/>
      <c r="D23" s="43" t="s">
        <v>218</v>
      </c>
      <c r="E23" s="43"/>
      <c r="F23" s="44"/>
      <c r="G23" s="35">
        <v>1</v>
      </c>
      <c r="H23" s="45" t="str">
        <f>IFERROR(INDEX('Standard Controls'!$G$4:$G$97,MATCH($G23,'Standard Controls'!$L$4:$L$97,0)),"")</f>
        <v>Body Stressing</v>
      </c>
      <c r="I23" s="128"/>
      <c r="J23" s="46" t="str">
        <f>IFERROR(INDEX('Standard Controls'!$H$4:$H$97,MATCH($G23,'Standard Controls'!$L$4:$L$97,0)),"")</f>
        <v>Use trolleys and lifting aids</v>
      </c>
      <c r="K23" s="47"/>
      <c r="L23" s="48"/>
    </row>
    <row r="24" spans="1:13" x14ac:dyDescent="0.25">
      <c r="B24" s="42" t="str">
        <f>IF(C24="Yes",MAX($B$23:$B23)+1,"")</f>
        <v/>
      </c>
      <c r="C24" s="235"/>
      <c r="D24" s="201" t="s">
        <v>221</v>
      </c>
      <c r="E24" s="201"/>
      <c r="F24" s="49"/>
      <c r="G24" s="35">
        <v>2</v>
      </c>
      <c r="H24" s="45" t="str">
        <f>IFERROR(INDEX('Standard Controls'!$G$4:$G$97,MATCH($G24,'Standard Controls'!$L$4:$L$97,0)),"")</f>
        <v>Body Stressing</v>
      </c>
      <c r="I24" s="128"/>
      <c r="J24" s="46" t="str">
        <f>IFERROR(INDEX('Standard Controls'!$H$4:$H$97,MATCH($G24,'Standard Controls'!$L$4:$L$97,0)),"")</f>
        <v>Employ team lifting</v>
      </c>
      <c r="K24" s="47"/>
      <c r="L24" s="48"/>
    </row>
    <row r="25" spans="1:13" x14ac:dyDescent="0.25">
      <c r="B25" s="42" t="str">
        <f>IF(C25="Yes",MAX($B$23:$B24)+1,"")</f>
        <v/>
      </c>
      <c r="C25" s="235"/>
      <c r="D25" s="201" t="s">
        <v>223</v>
      </c>
      <c r="E25" s="201"/>
      <c r="F25" s="49"/>
      <c r="G25" s="35">
        <v>3</v>
      </c>
      <c r="H25" s="45" t="str">
        <f>IFERROR(INDEX('Standard Controls'!$G$4:$G$97,MATCH($G25,'Standard Controls'!$L$4:$L$97,0)),"")</f>
        <v>Body Stressing</v>
      </c>
      <c r="I25" s="128"/>
      <c r="J25" s="46" t="str">
        <f>IFERROR(INDEX('Standard Controls'!$H$4:$H$97,MATCH($G25,'Standard Controls'!$L$4:$L$97,0)),"")</f>
        <v>Adjust the heights of the work surfaces to suit</v>
      </c>
      <c r="K25" s="47"/>
      <c r="L25" s="48"/>
    </row>
    <row r="26" spans="1:13" x14ac:dyDescent="0.25">
      <c r="B26" s="42" t="str">
        <f>IF(C26="Yes",MAX($B$23:$B25)+1,"")</f>
        <v/>
      </c>
      <c r="C26" s="235"/>
      <c r="D26" s="201" t="s">
        <v>225</v>
      </c>
      <c r="E26" s="201"/>
      <c r="F26" s="49"/>
      <c r="G26" s="35">
        <v>4</v>
      </c>
      <c r="H26" s="45" t="str">
        <f>IFERROR(INDEX('Standard Controls'!$G$4:$G$97,MATCH($G26,'Standard Controls'!$L$4:$L$97,0)),"")</f>
        <v>Body Stressing</v>
      </c>
      <c r="I26" s="128"/>
      <c r="J26" s="46" t="str">
        <f>IFERROR(INDEX('Standard Controls'!$H$4:$H$97,MATCH($G26,'Standard Controls'!$L$4:$L$97,0)),"")</f>
        <v>Use rosters to change work tasks and muscles used</v>
      </c>
      <c r="K26" s="47"/>
      <c r="L26" s="48"/>
    </row>
    <row r="27" spans="1:13" x14ac:dyDescent="0.25">
      <c r="B27" s="42" t="str">
        <f>IF(C27="Yes",MAX($B$23:$B26)+1,"")</f>
        <v/>
      </c>
      <c r="C27" s="235"/>
      <c r="D27" s="201" t="s">
        <v>228</v>
      </c>
      <c r="E27" s="201"/>
      <c r="F27" s="49"/>
      <c r="G27" s="35">
        <v>5</v>
      </c>
      <c r="H27" s="45" t="str">
        <f>IFERROR(INDEX('Standard Controls'!$G$4:$G$97,MATCH($G27,'Standard Controls'!$L$4:$L$97,0)),"")</f>
        <v>Body Stressing</v>
      </c>
      <c r="I27" s="128"/>
      <c r="J27" s="46" t="str">
        <f>IFERROR(INDEX('Standard Controls'!$H$4:$H$97,MATCH($G27,'Standard Controls'!$L$4:$L$97,0)),"")</f>
        <v>Avoid rushed work or extended work</v>
      </c>
      <c r="K27" s="47"/>
      <c r="L27" s="48"/>
    </row>
    <row r="28" spans="1:13" x14ac:dyDescent="0.25">
      <c r="B28" s="42" t="str">
        <f>IF(C28="Yes",MAX($B$23:$B27)+1,"")</f>
        <v/>
      </c>
      <c r="C28" s="235"/>
      <c r="D28" s="201" t="s">
        <v>230</v>
      </c>
      <c r="E28" s="201"/>
      <c r="F28" s="49"/>
      <c r="G28" s="35">
        <v>6</v>
      </c>
      <c r="H28" s="45" t="str">
        <f>IFERROR(INDEX('Standard Controls'!$G$4:$G$97,MATCH($G28,'Standard Controls'!$L$4:$L$97,0)),"")</f>
        <v>Body Stressing</v>
      </c>
      <c r="I28" s="128"/>
      <c r="J28" s="46" t="str">
        <f>IFERROR(INDEX('Standard Controls'!$H$4:$H$97,MATCH($G28,'Standard Controls'!$L$4:$L$97,0)),"")</f>
        <v>Minimise repetitive work and static postures</v>
      </c>
      <c r="K28" s="47"/>
      <c r="L28" s="48"/>
    </row>
    <row r="29" spans="1:13" x14ac:dyDescent="0.25">
      <c r="B29" s="42" t="str">
        <f>IF(C29="Yes",MAX($B$23:$B28)+1,"")</f>
        <v/>
      </c>
      <c r="C29" s="235"/>
      <c r="D29" s="201" t="s">
        <v>232</v>
      </c>
      <c r="E29" s="201"/>
      <c r="F29" s="49"/>
      <c r="G29" s="35">
        <v>7</v>
      </c>
      <c r="H29" s="45" t="str">
        <f>IFERROR(INDEX('Standard Controls'!$G$4:$G$97,MATCH($G29,'Standard Controls'!$L$4:$L$97,0)),"")</f>
        <v>Body Stressing</v>
      </c>
      <c r="I29" s="128"/>
      <c r="J29" s="46" t="str">
        <f>IFERROR(INDEX('Standard Controls'!$H$4:$H$97,MATCH($G29,'Standard Controls'!$L$4:$L$97,0)),"")</f>
        <v>Allow regular rest breaks</v>
      </c>
      <c r="K29" s="47"/>
      <c r="L29" s="48"/>
    </row>
    <row r="30" spans="1:13" x14ac:dyDescent="0.25">
      <c r="B30" s="42" t="str">
        <f>IF(C30="Yes",MAX($B$23:$B29)+1,"")</f>
        <v/>
      </c>
      <c r="C30" s="235"/>
      <c r="D30" s="201" t="s">
        <v>234</v>
      </c>
      <c r="E30" s="201"/>
      <c r="F30" s="49"/>
      <c r="G30" s="35">
        <v>8</v>
      </c>
      <c r="H30" s="45" t="str">
        <f>IFERROR(INDEX('Standard Controls'!$G$4:$G$97,MATCH($G30,'Standard Controls'!$L$4:$L$97,0)),"")</f>
        <v>Body Stressing</v>
      </c>
      <c r="I30" s="128"/>
      <c r="J30" s="46" t="str">
        <f>IFERROR(INDEX('Standard Controls'!$H$4:$H$97,MATCH($G30,'Standard Controls'!$L$4:$L$97,0)),"")</f>
        <v>Arrange work area to minimise reaching</v>
      </c>
      <c r="K30" s="47"/>
      <c r="L30" s="48"/>
    </row>
    <row r="31" spans="1:13" x14ac:dyDescent="0.25">
      <c r="B31" s="42" t="str">
        <f>IF(C31="Yes",MAX($B$23:$B30)+1,"")</f>
        <v/>
      </c>
      <c r="C31" s="235"/>
      <c r="D31" s="201" t="s">
        <v>236</v>
      </c>
      <c r="E31" s="201"/>
      <c r="F31" s="49"/>
      <c r="G31" s="35">
        <v>9</v>
      </c>
      <c r="H31" s="45" t="str">
        <f>IFERROR(INDEX('Standard Controls'!$G$4:$G$97,MATCH($G31,'Standard Controls'!$L$4:$L$97,0)),"")</f>
        <v/>
      </c>
      <c r="I31" s="128"/>
      <c r="J31" s="46" t="str">
        <f>IFERROR(INDEX('Standard Controls'!$H$4:$H$97,MATCH($G31,'Standard Controls'!$L$4:$L$97,0)),"")</f>
        <v/>
      </c>
      <c r="K31" s="47"/>
      <c r="L31" s="48"/>
    </row>
    <row r="32" spans="1:13" x14ac:dyDescent="0.25">
      <c r="B32" s="42" t="str">
        <f>IF(C32="Yes",MAX($B$23:$B31)+1,"")</f>
        <v/>
      </c>
      <c r="C32" s="235"/>
      <c r="D32" s="201" t="s">
        <v>238</v>
      </c>
      <c r="E32" s="201"/>
      <c r="F32" s="49"/>
      <c r="G32" s="35">
        <v>10</v>
      </c>
      <c r="H32" s="45" t="str">
        <f>IFERROR(INDEX('Standard Controls'!$G$4:$G$97,MATCH($G32,'Standard Controls'!$L$4:$L$97,0)),"")</f>
        <v/>
      </c>
      <c r="I32" s="128"/>
      <c r="J32" s="46" t="str">
        <f>IFERROR(INDEX('Standard Controls'!$H$4:$H$97,MATCH($G32,'Standard Controls'!$L$4:$L$97,0)),"")</f>
        <v/>
      </c>
      <c r="K32" s="47"/>
      <c r="L32" s="48"/>
    </row>
    <row r="33" spans="2:12" x14ac:dyDescent="0.25">
      <c r="B33" s="42" t="str">
        <f>IF(C33="Yes",MAX($B$23:$B32)+1,"")</f>
        <v/>
      </c>
      <c r="C33" s="235"/>
      <c r="D33" s="201" t="s">
        <v>241</v>
      </c>
      <c r="E33" s="201"/>
      <c r="F33" s="49"/>
      <c r="G33" s="35">
        <v>11</v>
      </c>
      <c r="H33" s="45" t="str">
        <f>IFERROR(INDEX('Standard Controls'!$G$4:$G$97,MATCH($G33,'Standard Controls'!$L$4:$L$97,0)),"")</f>
        <v/>
      </c>
      <c r="I33" s="128"/>
      <c r="J33" s="46" t="str">
        <f>IFERROR(INDEX('Standard Controls'!$H$4:$H$97,MATCH($G33,'Standard Controls'!$L$4:$L$97,0)),"")</f>
        <v/>
      </c>
      <c r="K33" s="47"/>
      <c r="L33" s="48"/>
    </row>
    <row r="34" spans="2:12" x14ac:dyDescent="0.25">
      <c r="B34" s="42" t="str">
        <f>IF(C34="Yes",MAX($B$23:$B33)+1,"")</f>
        <v/>
      </c>
      <c r="C34" s="235"/>
      <c r="D34" s="201" t="s">
        <v>243</v>
      </c>
      <c r="E34" s="201"/>
      <c r="F34" s="49"/>
      <c r="G34" s="35">
        <v>12</v>
      </c>
      <c r="H34" s="45" t="str">
        <f>IFERROR(INDEX('Standard Controls'!$G$4:$G$97,MATCH($G34,'Standard Controls'!$L$4:$L$97,0)),"")</f>
        <v/>
      </c>
      <c r="I34" s="128"/>
      <c r="J34" s="46" t="str">
        <f>IFERROR(INDEX('Standard Controls'!$H$4:$H$97,MATCH($G34,'Standard Controls'!$L$4:$L$97,0)),"")</f>
        <v/>
      </c>
      <c r="K34" s="47"/>
      <c r="L34" s="48"/>
    </row>
    <row r="35" spans="2:12" x14ac:dyDescent="0.25">
      <c r="B35" s="42" t="str">
        <f>IF(C35="Yes",MAX($B$23:$B34)+1,"")</f>
        <v/>
      </c>
      <c r="C35" s="235"/>
      <c r="D35" s="201" t="s">
        <v>246</v>
      </c>
      <c r="E35" s="201"/>
      <c r="F35" s="49"/>
      <c r="G35" s="35">
        <v>13</v>
      </c>
      <c r="H35" s="45" t="str">
        <f>IFERROR(INDEX('Standard Controls'!$G$4:$G$97,MATCH($G35,'Standard Controls'!$L$4:$L$97,0)),"")</f>
        <v/>
      </c>
      <c r="I35" s="128"/>
      <c r="J35" s="46" t="str">
        <f>IFERROR(INDEX('Standard Controls'!$H$4:$H$97,MATCH($G35,'Standard Controls'!$L$4:$L$97,0)),"")</f>
        <v/>
      </c>
      <c r="K35" s="47"/>
      <c r="L35" s="48"/>
    </row>
    <row r="36" spans="2:12" x14ac:dyDescent="0.25">
      <c r="B36" s="42" t="str">
        <f>IF(C36="Yes",MAX($B$23:$B35)+1,"")</f>
        <v/>
      </c>
      <c r="C36" s="235"/>
      <c r="D36" s="201" t="s">
        <v>219</v>
      </c>
      <c r="E36" s="201"/>
      <c r="F36" s="49"/>
      <c r="G36" s="35">
        <v>14</v>
      </c>
      <c r="H36" s="45" t="str">
        <f>IFERROR(INDEX('Standard Controls'!$G$4:$G$97,MATCH($G36,'Standard Controls'!$L$4:$L$97,0)),"")</f>
        <v/>
      </c>
      <c r="I36" s="128"/>
      <c r="J36" s="46" t="str">
        <f>IFERROR(INDEX('Standard Controls'!$H$4:$H$97,MATCH($G36,'Standard Controls'!$L$4:$L$97,0)),"")</f>
        <v/>
      </c>
      <c r="K36" s="47"/>
      <c r="L36" s="48"/>
    </row>
    <row r="37" spans="2:12" x14ac:dyDescent="0.25">
      <c r="B37" s="42" t="str">
        <f>IF(C37="Yes",MAX($B$23:$B36)+1,"")</f>
        <v/>
      </c>
      <c r="C37" s="235"/>
      <c r="D37" s="201" t="s">
        <v>226</v>
      </c>
      <c r="E37" s="201"/>
      <c r="F37" s="49"/>
      <c r="G37" s="35">
        <v>15</v>
      </c>
      <c r="H37" s="45" t="str">
        <f>IFERROR(INDEX('Standard Controls'!$G$4:$G$97,MATCH($G37,'Standard Controls'!$L$4:$L$97,0)),"")</f>
        <v/>
      </c>
      <c r="I37" s="128"/>
      <c r="J37" s="46" t="str">
        <f>IFERROR(INDEX('Standard Controls'!$H$4:$H$97,MATCH($G37,'Standard Controls'!$L$4:$L$97,0)),"")</f>
        <v/>
      </c>
      <c r="K37" s="47"/>
      <c r="L37" s="48"/>
    </row>
    <row r="38" spans="2:12" x14ac:dyDescent="0.25">
      <c r="B38" s="42" t="str">
        <f>IF(C38="Yes",MAX($B$23:$B37)+1,"")</f>
        <v/>
      </c>
      <c r="C38" s="235"/>
      <c r="D38" s="201" t="s">
        <v>239</v>
      </c>
      <c r="E38" s="201"/>
      <c r="F38" s="49"/>
      <c r="G38" s="35">
        <v>16</v>
      </c>
      <c r="H38" s="45" t="str">
        <f>IFERROR(INDEX('Standard Controls'!$G$4:$G$97,MATCH($G38,'Standard Controls'!$L$4:$L$97,0)),"")</f>
        <v/>
      </c>
      <c r="I38" s="128"/>
      <c r="J38" s="46" t="str">
        <f>IFERROR(INDEX('Standard Controls'!$H$4:$H$97,MATCH($G38,'Standard Controls'!$L$4:$L$97,0)),"")</f>
        <v/>
      </c>
      <c r="K38" s="47"/>
      <c r="L38" s="48"/>
    </row>
    <row r="39" spans="2:12" x14ac:dyDescent="0.25">
      <c r="B39" s="42">
        <f>IF(C39="Yes",MAX($B$23:$B38)+1,"")</f>
        <v>1</v>
      </c>
      <c r="C39" s="236" t="s">
        <v>166</v>
      </c>
      <c r="D39" s="50" t="s">
        <v>251</v>
      </c>
      <c r="E39" s="50"/>
      <c r="F39" s="51"/>
      <c r="G39" s="35">
        <v>17</v>
      </c>
      <c r="H39" s="45" t="str">
        <f>IFERROR(INDEX('Standard Controls'!$G$4:$G$97,MATCH($G39,'Standard Controls'!$L$4:$L$97,0)),"")</f>
        <v/>
      </c>
      <c r="I39" s="128"/>
      <c r="J39" s="46" t="str">
        <f>IFERROR(INDEX('Standard Controls'!$H$4:$H$97,MATCH($G39,'Standard Controls'!$L$4:$L$97,0)),"")</f>
        <v/>
      </c>
      <c r="K39" s="47"/>
      <c r="L39" s="48"/>
    </row>
    <row r="40" spans="2:12" x14ac:dyDescent="0.25">
      <c r="B40" s="42" t="str">
        <f>IF(C40="Yes",MAX($B$23:$B39)+1,"")</f>
        <v/>
      </c>
      <c r="C40" s="235"/>
      <c r="D40" s="201" t="s">
        <v>253</v>
      </c>
      <c r="E40" s="201"/>
      <c r="F40" s="49"/>
      <c r="G40" s="35">
        <v>18</v>
      </c>
      <c r="H40" s="45" t="str">
        <f>IFERROR(INDEX('Standard Controls'!$G$4:$G$97,MATCH($G40,'Standard Controls'!$L$4:$L$97,0)),"")</f>
        <v/>
      </c>
      <c r="I40" s="128"/>
      <c r="J40" s="46" t="str">
        <f>IFERROR(INDEX('Standard Controls'!$H$4:$H$97,MATCH($G40,'Standard Controls'!$L$4:$L$97,0)),"")</f>
        <v/>
      </c>
      <c r="K40" s="47"/>
      <c r="L40" s="48"/>
    </row>
    <row r="41" spans="2:12" x14ac:dyDescent="0.25">
      <c r="B41" s="42" t="str">
        <f>IF(C41="Yes",MAX($B$23:$B40)+1,"")</f>
        <v/>
      </c>
      <c r="C41" s="235"/>
      <c r="D41" s="201" t="s">
        <v>255</v>
      </c>
      <c r="E41" s="201"/>
      <c r="F41" s="49"/>
      <c r="G41" s="35">
        <v>19</v>
      </c>
      <c r="H41" s="45" t="str">
        <f>IFERROR(INDEX('Standard Controls'!$G$4:$G$97,MATCH($G41,'Standard Controls'!$L$4:$L$97,0)),"")</f>
        <v/>
      </c>
      <c r="I41" s="128"/>
      <c r="J41" s="46" t="str">
        <f>IFERROR(INDEX('Standard Controls'!$H$4:$H$97,MATCH($G41,'Standard Controls'!$L$4:$L$97,0)),"")</f>
        <v/>
      </c>
      <c r="K41" s="47"/>
      <c r="L41" s="48"/>
    </row>
    <row r="42" spans="2:12" x14ac:dyDescent="0.25">
      <c r="B42" s="42" t="str">
        <f>IF(C42="Yes",MAX($B$23:$B41)+1,"")</f>
        <v/>
      </c>
      <c r="C42" s="235"/>
      <c r="D42" s="201" t="s">
        <v>257</v>
      </c>
      <c r="E42" s="201"/>
      <c r="F42" s="49"/>
      <c r="G42" s="35">
        <v>20</v>
      </c>
      <c r="H42" s="45" t="str">
        <f>IFERROR(INDEX('Standard Controls'!$G$4:$G$97,MATCH($G42,'Standard Controls'!$L$4:$L$97,0)),"")</f>
        <v/>
      </c>
      <c r="I42" s="128"/>
      <c r="J42" s="46" t="str">
        <f>IFERROR(INDEX('Standard Controls'!$H$4:$H$97,MATCH($G42,'Standard Controls'!$L$4:$L$97,0)),"")</f>
        <v/>
      </c>
      <c r="K42" s="47"/>
      <c r="L42" s="48"/>
    </row>
    <row r="43" spans="2:12" ht="15.75" thickBot="1" x14ac:dyDescent="0.3">
      <c r="B43" s="52" t="str">
        <f>IF(C43="Yes",MAX($B$23:$B42)+1,"")</f>
        <v/>
      </c>
      <c r="C43" s="237"/>
      <c r="D43" s="53" t="s">
        <v>258</v>
      </c>
      <c r="E43" s="53"/>
      <c r="F43" s="54"/>
      <c r="G43" s="35">
        <f>G42+1</f>
        <v>21</v>
      </c>
      <c r="H43" s="45" t="str">
        <f>IFERROR(INDEX('Standard Controls'!$G$4:$G$97,MATCH($G43,'Standard Controls'!$L$4:$L$97,0)),"")</f>
        <v/>
      </c>
      <c r="I43" s="128"/>
      <c r="J43" s="46" t="str">
        <f>IFERROR(INDEX('Standard Controls'!$H$4:$H$97,MATCH($G43,'Standard Controls'!$L$4:$L$97,0)),"")</f>
        <v/>
      </c>
      <c r="K43" s="47"/>
      <c r="L43" s="48"/>
    </row>
    <row r="44" spans="2:12" ht="15.75" thickBot="1" x14ac:dyDescent="0.3">
      <c r="G44" s="35">
        <f t="shared" ref="G44:G90" si="0">G43+1</f>
        <v>22</v>
      </c>
      <c r="H44" s="45" t="str">
        <f>IFERROR(INDEX('Standard Controls'!$G$4:$G$97,MATCH($G44,'Standard Controls'!$L$4:$L$97,0)),"")</f>
        <v/>
      </c>
      <c r="I44" s="128"/>
      <c r="J44" s="46" t="str">
        <f>IFERROR(INDEX('Standard Controls'!$H$4:$H$97,MATCH($G44,'Standard Controls'!$L$4:$L$97,0)),"")</f>
        <v/>
      </c>
      <c r="K44" s="47"/>
      <c r="L44" s="48"/>
    </row>
    <row r="45" spans="2:12" ht="15.75" thickBot="1" x14ac:dyDescent="0.3">
      <c r="B45" s="55"/>
      <c r="C45" s="56" t="s">
        <v>259</v>
      </c>
      <c r="D45" s="57"/>
      <c r="E45" s="57"/>
      <c r="F45" s="58"/>
      <c r="G45" s="35">
        <f t="shared" si="0"/>
        <v>23</v>
      </c>
      <c r="H45" s="45" t="str">
        <f>IFERROR(INDEX('Standard Controls'!$G$4:$G$97,MATCH($G45,'Standard Controls'!$L$4:$L$97,0)),"")</f>
        <v/>
      </c>
      <c r="I45" s="128"/>
      <c r="J45" s="46" t="str">
        <f>IFERROR(INDEX('Standard Controls'!$H$4:$H$97,MATCH($G45,'Standard Controls'!$L$4:$L$97,0)),"")</f>
        <v/>
      </c>
      <c r="K45" s="47"/>
      <c r="L45" s="48"/>
    </row>
    <row r="46" spans="2:12" x14ac:dyDescent="0.25">
      <c r="B46" s="59"/>
      <c r="C46" s="60" t="s">
        <v>260</v>
      </c>
      <c r="D46" s="60"/>
      <c r="E46" s="60"/>
      <c r="F46" s="61"/>
      <c r="G46" s="35">
        <f t="shared" si="0"/>
        <v>24</v>
      </c>
      <c r="H46" s="45" t="str">
        <f>IFERROR(INDEX('Standard Controls'!$G$4:$G$97,MATCH($G46,'Standard Controls'!$L$4:$L$97,0)),"")</f>
        <v/>
      </c>
      <c r="I46" s="128"/>
      <c r="J46" s="46" t="str">
        <f>IFERROR(INDEX('Standard Controls'!$H$4:$H$97,MATCH($G46,'Standard Controls'!$L$4:$L$97,0)),"")</f>
        <v/>
      </c>
      <c r="K46" s="47"/>
      <c r="L46" s="48"/>
    </row>
    <row r="47" spans="2:12" ht="15.75" thickBot="1" x14ac:dyDescent="0.3">
      <c r="B47" s="62"/>
      <c r="C47" s="63" t="s">
        <v>261</v>
      </c>
      <c r="D47" s="63"/>
      <c r="E47" s="63"/>
      <c r="F47" s="64"/>
      <c r="G47" s="35">
        <f t="shared" si="0"/>
        <v>25</v>
      </c>
      <c r="H47" s="45" t="str">
        <f>IFERROR(INDEX('Standard Controls'!$G$4:$G$97,MATCH($G47,'Standard Controls'!$L$4:$L$97,0)),"")</f>
        <v/>
      </c>
      <c r="I47" s="128"/>
      <c r="J47" s="46" t="str">
        <f>IFERROR(INDEX('Standard Controls'!$H$4:$H$97,MATCH($G47,'Standard Controls'!$L$4:$L$97,0)),"")</f>
        <v/>
      </c>
      <c r="K47" s="47"/>
      <c r="L47" s="48"/>
    </row>
    <row r="48" spans="2:12" x14ac:dyDescent="0.25">
      <c r="B48" s="65" t="str">
        <f>IF(C48="Yes",MAX($B$23:$B45)+1,"")</f>
        <v/>
      </c>
      <c r="C48" s="127"/>
      <c r="D48" s="66" t="str">
        <f>IF(C39="Assess","Is a body part used to repeat similar movements?","")</f>
        <v/>
      </c>
      <c r="E48" s="66"/>
      <c r="F48" s="67"/>
      <c r="G48" s="35">
        <f t="shared" si="0"/>
        <v>26</v>
      </c>
      <c r="H48" s="45" t="str">
        <f>IFERROR(INDEX('Standard Controls'!$G$4:$G$97,MATCH($G48,'Standard Controls'!$L$4:$L$97,0)),"")</f>
        <v/>
      </c>
      <c r="I48" s="128"/>
      <c r="J48" s="46" t="str">
        <f>IFERROR(INDEX('Standard Controls'!$H$4:$H$97,MATCH($G48,'Standard Controls'!$L$4:$L$97,0)),"")</f>
        <v/>
      </c>
      <c r="K48" s="47"/>
      <c r="L48" s="48"/>
    </row>
    <row r="49" spans="2:12" x14ac:dyDescent="0.25">
      <c r="B49" s="68" t="str">
        <f>IF(C49="Yes",MAX($B$23:$B48)+1,"")</f>
        <v/>
      </c>
      <c r="C49" s="127"/>
      <c r="D49" s="50" t="str">
        <f>IF(C39="Assess","Is the same positon kept for a prolonged period?","")</f>
        <v/>
      </c>
      <c r="E49" s="50"/>
      <c r="F49" s="51"/>
      <c r="G49" s="35">
        <f t="shared" si="0"/>
        <v>27</v>
      </c>
      <c r="H49" s="45" t="str">
        <f>IFERROR(INDEX('Standard Controls'!$G$4:$G$97,MATCH($G49,'Standard Controls'!$L$4:$L$97,0)),"")</f>
        <v/>
      </c>
      <c r="I49" s="128"/>
      <c r="J49" s="46" t="str">
        <f>IFERROR(INDEX('Standard Controls'!$H$4:$H$97,MATCH($G49,'Standard Controls'!$L$4:$L$97,0)),"")</f>
        <v/>
      </c>
      <c r="K49" s="47"/>
      <c r="L49" s="48"/>
    </row>
    <row r="50" spans="2:12" x14ac:dyDescent="0.25">
      <c r="B50" s="68" t="str">
        <f>IF(C50="Yes",MAX($B$23:$B49)+1,"")</f>
        <v/>
      </c>
      <c r="C50" s="127"/>
      <c r="D50" s="50" t="str">
        <f>IF(C39="Assess","Is the posture uncomfortable or unnatural?","")</f>
        <v/>
      </c>
      <c r="E50" s="50"/>
      <c r="F50" s="51"/>
      <c r="G50" s="35">
        <f t="shared" si="0"/>
        <v>28</v>
      </c>
      <c r="H50" s="45" t="str">
        <f>IFERROR(INDEX('Standard Controls'!$G$4:$G$97,MATCH($G50,'Standard Controls'!$L$4:$L$97,0)),"")</f>
        <v/>
      </c>
      <c r="I50" s="128"/>
      <c r="J50" s="46" t="str">
        <f>IFERROR(INDEX('Standard Controls'!$H$4:$H$97,MATCH($G50,'Standard Controls'!$L$4:$L$97,0)),"")</f>
        <v/>
      </c>
      <c r="K50" s="47"/>
      <c r="L50" s="48"/>
    </row>
    <row r="51" spans="2:12" x14ac:dyDescent="0.25">
      <c r="B51" s="68" t="str">
        <f>IF(C51="Yes",MAX($B$23:$B50)+1,"")</f>
        <v/>
      </c>
      <c r="C51" s="127"/>
      <c r="D51" s="50" t="str">
        <f>IF(C39="Assess","Is force is used reteatedly?","")</f>
        <v/>
      </c>
      <c r="E51" s="50"/>
      <c r="F51" s="51"/>
      <c r="G51" s="35">
        <f t="shared" si="0"/>
        <v>29</v>
      </c>
      <c r="H51" s="45" t="str">
        <f>IFERROR(INDEX('Standard Controls'!$G$4:$G$97,MATCH($G51,'Standard Controls'!$L$4:$L$97,0)),"")</f>
        <v/>
      </c>
      <c r="I51" s="128"/>
      <c r="J51" s="46" t="str">
        <f>IFERROR(INDEX('Standard Controls'!$H$4:$H$97,MATCH($G51,'Standard Controls'!$L$4:$L$97,0)),"")</f>
        <v/>
      </c>
      <c r="K51" s="47"/>
      <c r="L51" s="48"/>
    </row>
    <row r="52" spans="2:12" x14ac:dyDescent="0.25">
      <c r="B52" s="68" t="str">
        <f>IF(C52="Yes",MAX($B$23:$B51)+1,"")</f>
        <v/>
      </c>
      <c r="C52" s="127"/>
      <c r="D52" s="50" t="str">
        <f>IF(C39="Assess","Is force is applied continually?","")</f>
        <v/>
      </c>
      <c r="E52" s="50"/>
      <c r="F52" s="51"/>
      <c r="G52" s="35">
        <f t="shared" si="0"/>
        <v>30</v>
      </c>
      <c r="H52" s="45" t="str">
        <f>IFERROR(INDEX('Standard Controls'!$G$4:$G$97,MATCH($G52,'Standard Controls'!$L$4:$L$97,0)),"")</f>
        <v/>
      </c>
      <c r="I52" s="128"/>
      <c r="J52" s="46" t="str">
        <f>IFERROR(INDEX('Standard Controls'!$H$4:$H$97,MATCH($G52,'Standard Controls'!$L$4:$L$97,0)),"")</f>
        <v/>
      </c>
      <c r="K52" s="47"/>
      <c r="L52" s="48"/>
    </row>
    <row r="53" spans="2:12" x14ac:dyDescent="0.25">
      <c r="B53" s="68" t="str">
        <f>IF(C53="Yes",MAX($B$23:$B52)+1,"")</f>
        <v/>
      </c>
      <c r="C53" s="127"/>
      <c r="D53" s="50" t="str">
        <f>IF(C39="Assess","Is increased muscle effort is required?","")</f>
        <v/>
      </c>
      <c r="E53" s="50"/>
      <c r="F53" s="51"/>
      <c r="G53" s="35">
        <f t="shared" si="0"/>
        <v>31</v>
      </c>
      <c r="H53" s="45" t="str">
        <f>IFERROR(INDEX('Standard Controls'!$G$4:$G$97,MATCH($G53,'Standard Controls'!$L$4:$L$97,0)),"")</f>
        <v/>
      </c>
      <c r="I53" s="128"/>
      <c r="J53" s="46" t="str">
        <f>IFERROR(INDEX('Standard Controls'!$H$4:$H$97,MATCH($G53,'Standard Controls'!$L$4:$L$97,0)),"")</f>
        <v/>
      </c>
      <c r="K53" s="47"/>
      <c r="L53" s="48"/>
    </row>
    <row r="54" spans="2:12" x14ac:dyDescent="0.25">
      <c r="B54" s="68" t="str">
        <f>IF(C54="Yes",MAX($B$23:$B53)+1,"")</f>
        <v/>
      </c>
      <c r="C54" s="127"/>
      <c r="D54" s="50" t="str">
        <f>IF(C39="Assess","Are there jerky or unexpected movements?","")</f>
        <v/>
      </c>
      <c r="E54" s="50"/>
      <c r="F54" s="51"/>
      <c r="G54" s="35">
        <f t="shared" si="0"/>
        <v>32</v>
      </c>
      <c r="H54" s="45" t="str">
        <f>IFERROR(INDEX('Standard Controls'!$G$4:$G$97,MATCH($G54,'Standard Controls'!$L$4:$L$97,0)),"")</f>
        <v/>
      </c>
      <c r="I54" s="128"/>
      <c r="J54" s="46" t="str">
        <f>IFERROR(INDEX('Standard Controls'!$H$4:$H$97,MATCH($G54,'Standard Controls'!$L$4:$L$97,0)),"")</f>
        <v/>
      </c>
      <c r="K54" s="47"/>
      <c r="L54" s="48"/>
    </row>
    <row r="55" spans="2:12" x14ac:dyDescent="0.25">
      <c r="B55" s="68" t="str">
        <f>IF(C55="Yes",MAX($B$23:$B54)+1,"")</f>
        <v/>
      </c>
      <c r="C55" s="127"/>
      <c r="D55" s="50" t="str">
        <f>IF(C39="Assess","Is vibration an issue?","")</f>
        <v/>
      </c>
      <c r="E55" s="50"/>
      <c r="F55" s="51"/>
      <c r="G55" s="35">
        <f t="shared" si="0"/>
        <v>33</v>
      </c>
      <c r="H55" s="45" t="str">
        <f>IFERROR(INDEX('Standard Controls'!$G$4:$G$97,MATCH($G55,'Standard Controls'!$L$4:$L$97,0)),"")</f>
        <v/>
      </c>
      <c r="I55" s="128"/>
      <c r="J55" s="46" t="str">
        <f>IFERROR(INDEX('Standard Controls'!$H$4:$H$97,MATCH($G55,'Standard Controls'!$L$4:$L$97,0)),"")</f>
        <v/>
      </c>
      <c r="K55" s="47"/>
      <c r="L55" s="48"/>
    </row>
    <row r="56" spans="2:12" x14ac:dyDescent="0.25">
      <c r="B56" s="68" t="str">
        <f>IF(C56="Yes",MAX($B$23:$B55)+1,"")</f>
        <v/>
      </c>
      <c r="C56" s="127"/>
      <c r="D56" s="50" t="str">
        <f>IF(C39="Assess","Is the task difficult to do or complete?","")</f>
        <v/>
      </c>
      <c r="E56" s="50"/>
      <c r="F56" s="51"/>
      <c r="G56" s="35">
        <f t="shared" si="0"/>
        <v>34</v>
      </c>
      <c r="H56" s="45" t="str">
        <f>IFERROR(INDEX('Standard Controls'!$G$4:$G$97,MATCH($G56,'Standard Controls'!$L$4:$L$97,0)),"")</f>
        <v/>
      </c>
      <c r="I56" s="128"/>
      <c r="J56" s="46" t="str">
        <f>IFERROR(INDEX('Standard Controls'!$H$4:$H$97,MATCH($G56,'Standard Controls'!$L$4:$L$97,0)),"")</f>
        <v/>
      </c>
      <c r="K56" s="47"/>
      <c r="L56" s="48"/>
    </row>
    <row r="57" spans="2:12" x14ac:dyDescent="0.25">
      <c r="B57" s="68" t="str">
        <f>IF(C57="Yes",MAX($B$23:$B56)+1,"")</f>
        <v/>
      </c>
      <c r="C57" s="127"/>
      <c r="D57" s="50" t="str">
        <f>IF(C39="Assess","Does it cause discomfort or muscle fatigue?","")</f>
        <v/>
      </c>
      <c r="E57" s="50"/>
      <c r="F57" s="51"/>
      <c r="G57" s="35">
        <f t="shared" si="0"/>
        <v>35</v>
      </c>
      <c r="H57" s="45" t="str">
        <f>IFERROR(INDEX('Standard Controls'!$G$4:$G$97,MATCH($G57,'Standard Controls'!$L$4:$L$97,0)),"")</f>
        <v/>
      </c>
      <c r="I57" s="128"/>
      <c r="J57" s="46" t="str">
        <f>IFERROR(INDEX('Standard Controls'!$H$4:$H$97,MATCH($G57,'Standard Controls'!$L$4:$L$97,0)),"")</f>
        <v/>
      </c>
      <c r="K57" s="47"/>
      <c r="L57" s="48"/>
    </row>
    <row r="58" spans="2:12" ht="15.75" thickBot="1" x14ac:dyDescent="0.3">
      <c r="B58" s="69" t="str">
        <f>IF(C58="Yes",MAX($B$23:$B57)+1,"")</f>
        <v/>
      </c>
      <c r="C58" s="127"/>
      <c r="D58" s="70" t="str">
        <f>IF(C39="Assess","Has it cause a muscle strain injury before?","")</f>
        <v/>
      </c>
      <c r="E58" s="70"/>
      <c r="F58" s="71"/>
      <c r="G58" s="35">
        <f t="shared" si="0"/>
        <v>36</v>
      </c>
      <c r="H58" s="45" t="str">
        <f>IFERROR(INDEX('Standard Controls'!$G$4:$G$97,MATCH($G58,'Standard Controls'!$L$4:$L$97,0)),"")</f>
        <v/>
      </c>
      <c r="I58" s="128"/>
      <c r="J58" s="46" t="str">
        <f>IFERROR(INDEX('Standard Controls'!$H$4:$H$97,MATCH($G58,'Standard Controls'!$L$4:$L$97,0)),"")</f>
        <v/>
      </c>
      <c r="K58" s="47"/>
      <c r="L58" s="48"/>
    </row>
    <row r="59" spans="2:12" ht="15" customHeight="1" x14ac:dyDescent="0.25">
      <c r="B59" s="321" t="str">
        <f>IF(OR(COUNTIF(C48:C58,"Yes")&gt;0,C39="Yes"),"Hazardous Manual Task, implement suggested controls","Probably not a Hazardous Manual Task")</f>
        <v>Hazardous Manual Task, implement suggested controls</v>
      </c>
      <c r="C59" s="322"/>
      <c r="D59" s="322"/>
      <c r="E59" s="322"/>
      <c r="F59" s="323"/>
      <c r="G59" s="35">
        <f t="shared" si="0"/>
        <v>37</v>
      </c>
      <c r="H59" s="45" t="str">
        <f>IFERROR(INDEX('Standard Controls'!$G$4:$G$97,MATCH($G59,'Standard Controls'!$L$4:$L$97,0)),"")</f>
        <v/>
      </c>
      <c r="I59" s="128"/>
      <c r="J59" s="46" t="str">
        <f>IFERROR(INDEX('Standard Controls'!$H$4:$H$97,MATCH($G59,'Standard Controls'!$L$4:$L$97,0)),"")</f>
        <v/>
      </c>
      <c r="K59" s="47"/>
      <c r="L59" s="48"/>
    </row>
    <row r="60" spans="2:12" ht="15.75" customHeight="1" thickBot="1" x14ac:dyDescent="0.3">
      <c r="B60" s="324"/>
      <c r="C60" s="325"/>
      <c r="D60" s="325"/>
      <c r="E60" s="325"/>
      <c r="F60" s="326"/>
      <c r="G60" s="35">
        <f t="shared" si="0"/>
        <v>38</v>
      </c>
      <c r="H60" s="45" t="str">
        <f>IFERROR(INDEX('Standard Controls'!$G$4:$G$97,MATCH($G60,'Standard Controls'!$L$4:$L$97,0)),"")</f>
        <v/>
      </c>
      <c r="I60" s="128"/>
      <c r="J60" s="46" t="str">
        <f>IFERROR(INDEX('Standard Controls'!$H$4:$H$97,MATCH($G60,'Standard Controls'!$L$4:$L$97,0)),"")</f>
        <v/>
      </c>
      <c r="K60" s="47"/>
      <c r="L60" s="48"/>
    </row>
    <row r="61" spans="2:12" x14ac:dyDescent="0.25">
      <c r="G61" s="35">
        <f t="shared" si="0"/>
        <v>39</v>
      </c>
      <c r="H61" s="45" t="str">
        <f>IFERROR(INDEX('Standard Controls'!$G$4:$G$97,MATCH($G61,'Standard Controls'!$L$4:$L$97,0)),"")</f>
        <v/>
      </c>
      <c r="I61" s="128"/>
      <c r="J61" s="46" t="str">
        <f>IFERROR(INDEX('Standard Controls'!$H$4:$H$97,MATCH($G61,'Standard Controls'!$L$4:$L$97,0)),"")</f>
        <v/>
      </c>
      <c r="K61" s="47"/>
      <c r="L61" s="48"/>
    </row>
    <row r="62" spans="2:12" x14ac:dyDescent="0.25">
      <c r="G62" s="35">
        <f t="shared" si="0"/>
        <v>40</v>
      </c>
      <c r="H62" s="45" t="str">
        <f>IFERROR(INDEX('Standard Controls'!$G$4:$G$97,MATCH($G62,'Standard Controls'!$L$4:$L$97,0)),"")</f>
        <v/>
      </c>
      <c r="I62" s="128"/>
      <c r="J62" s="46" t="str">
        <f>IFERROR(INDEX('Standard Controls'!$H$4:$H$97,MATCH($G62,'Standard Controls'!$L$4:$L$97,0)),"")</f>
        <v/>
      </c>
      <c r="K62" s="47"/>
      <c r="L62" s="48"/>
    </row>
    <row r="63" spans="2:12" x14ac:dyDescent="0.25">
      <c r="G63" s="35">
        <f t="shared" si="0"/>
        <v>41</v>
      </c>
      <c r="H63" s="45" t="str">
        <f>IFERROR(INDEX('Standard Controls'!$G$4:$G$97,MATCH($G63,'Standard Controls'!$L$4:$L$97,0)),"")</f>
        <v/>
      </c>
      <c r="I63" s="128"/>
      <c r="J63" s="46" t="str">
        <f>IFERROR(INDEX('Standard Controls'!$H$4:$H$97,MATCH($G63,'Standard Controls'!$L$4:$L$97,0)),"")</f>
        <v/>
      </c>
      <c r="K63" s="47"/>
      <c r="L63" s="48"/>
    </row>
    <row r="64" spans="2:12" x14ac:dyDescent="0.25">
      <c r="G64" s="35">
        <f t="shared" si="0"/>
        <v>42</v>
      </c>
      <c r="H64" s="45" t="str">
        <f>IFERROR(INDEX('Standard Controls'!$G$4:$G$97,MATCH($G64,'Standard Controls'!$L$4:$L$97,0)),"")</f>
        <v/>
      </c>
      <c r="I64" s="128"/>
      <c r="J64" s="46" t="str">
        <f>IFERROR(INDEX('Standard Controls'!$H$4:$H$97,MATCH($G64,'Standard Controls'!$L$4:$L$97,0)),"")</f>
        <v/>
      </c>
      <c r="K64" s="47"/>
      <c r="L64" s="48"/>
    </row>
    <row r="65" spans="7:12" x14ac:dyDescent="0.25">
      <c r="G65" s="35">
        <f t="shared" si="0"/>
        <v>43</v>
      </c>
      <c r="H65" s="45" t="str">
        <f>IFERROR(INDEX('Standard Controls'!$G$4:$G$97,MATCH($G65,'Standard Controls'!$L$4:$L$97,0)),"")</f>
        <v/>
      </c>
      <c r="I65" s="128"/>
      <c r="J65" s="46" t="str">
        <f>IFERROR(INDEX('Standard Controls'!$H$4:$H$97,MATCH($G65,'Standard Controls'!$L$4:$L$97,0)),"")</f>
        <v/>
      </c>
      <c r="K65" s="47"/>
      <c r="L65" s="48"/>
    </row>
    <row r="66" spans="7:12" x14ac:dyDescent="0.25">
      <c r="G66" s="35">
        <f t="shared" si="0"/>
        <v>44</v>
      </c>
      <c r="H66" s="45" t="str">
        <f>IFERROR(INDEX('Standard Controls'!$G$4:$G$97,MATCH($G66,'Standard Controls'!$L$4:$L$97,0)),"")</f>
        <v/>
      </c>
      <c r="I66" s="128"/>
      <c r="J66" s="46" t="str">
        <f>IFERROR(INDEX('Standard Controls'!$H$4:$H$97,MATCH($G66,'Standard Controls'!$L$4:$L$97,0)),"")</f>
        <v/>
      </c>
      <c r="K66" s="47"/>
      <c r="L66" s="48"/>
    </row>
    <row r="67" spans="7:12" x14ac:dyDescent="0.25">
      <c r="G67" s="35">
        <f t="shared" si="0"/>
        <v>45</v>
      </c>
      <c r="H67" s="45" t="str">
        <f>IFERROR(INDEX('Standard Controls'!$G$4:$G$97,MATCH($G67,'Standard Controls'!$L$4:$L$97,0)),"")</f>
        <v/>
      </c>
      <c r="I67" s="128"/>
      <c r="J67" s="46" t="str">
        <f>IFERROR(INDEX('Standard Controls'!$H$4:$H$97,MATCH($G67,'Standard Controls'!$L$4:$L$97,0)),"")</f>
        <v/>
      </c>
      <c r="K67" s="47"/>
      <c r="L67" s="48"/>
    </row>
    <row r="68" spans="7:12" x14ac:dyDescent="0.25">
      <c r="G68" s="35">
        <f t="shared" si="0"/>
        <v>46</v>
      </c>
      <c r="H68" s="45" t="str">
        <f>IFERROR(INDEX('Standard Controls'!$G$4:$G$97,MATCH($G68,'Standard Controls'!$L$4:$L$97,0)),"")</f>
        <v/>
      </c>
      <c r="I68" s="128"/>
      <c r="J68" s="46" t="str">
        <f>IFERROR(INDEX('Standard Controls'!$H$4:$H$97,MATCH($G68,'Standard Controls'!$L$4:$L$97,0)),"")</f>
        <v/>
      </c>
      <c r="K68" s="47"/>
      <c r="L68" s="48"/>
    </row>
    <row r="69" spans="7:12" x14ac:dyDescent="0.25">
      <c r="G69" s="35">
        <f t="shared" si="0"/>
        <v>47</v>
      </c>
      <c r="H69" s="45" t="str">
        <f>IFERROR(INDEX('Standard Controls'!$G$4:$G$97,MATCH($G69,'Standard Controls'!$L$4:$L$97,0)),"")</f>
        <v/>
      </c>
      <c r="I69" s="128"/>
      <c r="J69" s="46" t="str">
        <f>IFERROR(INDEX('Standard Controls'!$H$4:$H$97,MATCH($G69,'Standard Controls'!$L$4:$L$97,0)),"")</f>
        <v/>
      </c>
      <c r="K69" s="47"/>
      <c r="L69" s="48"/>
    </row>
    <row r="70" spans="7:12" x14ac:dyDescent="0.25">
      <c r="G70" s="35">
        <f t="shared" si="0"/>
        <v>48</v>
      </c>
      <c r="H70" s="45" t="str">
        <f>IFERROR(INDEX('Standard Controls'!$G$4:$G$97,MATCH($G70,'Standard Controls'!$L$4:$L$97,0)),"")</f>
        <v/>
      </c>
      <c r="I70" s="128"/>
      <c r="J70" s="46" t="str">
        <f>IFERROR(INDEX('Standard Controls'!$H$4:$H$97,MATCH($G70,'Standard Controls'!$L$4:$L$97,0)),"")</f>
        <v/>
      </c>
      <c r="K70" s="47"/>
      <c r="L70" s="48"/>
    </row>
    <row r="71" spans="7:12" x14ac:dyDescent="0.25">
      <c r="G71" s="35">
        <f t="shared" si="0"/>
        <v>49</v>
      </c>
      <c r="H71" s="45" t="str">
        <f>IFERROR(INDEX('Standard Controls'!$G$4:$G$97,MATCH($G71,'Standard Controls'!$L$4:$L$97,0)),"")</f>
        <v/>
      </c>
      <c r="I71" s="128"/>
      <c r="J71" s="46" t="str">
        <f>IFERROR(INDEX('Standard Controls'!$H$4:$H$97,MATCH($G71,'Standard Controls'!$L$4:$L$97,0)),"")</f>
        <v/>
      </c>
      <c r="K71" s="47"/>
      <c r="L71" s="48"/>
    </row>
    <row r="72" spans="7:12" x14ac:dyDescent="0.25">
      <c r="G72" s="35">
        <f t="shared" si="0"/>
        <v>50</v>
      </c>
      <c r="H72" s="45" t="str">
        <f>IFERROR(INDEX('Standard Controls'!$G$4:$G$97,MATCH($G72,'Standard Controls'!$L$4:$L$97,0)),"")</f>
        <v/>
      </c>
      <c r="I72" s="128"/>
      <c r="J72" s="46" t="str">
        <f>IFERROR(INDEX('Standard Controls'!$H$4:$H$97,MATCH($G72,'Standard Controls'!$L$4:$L$97,0)),"")</f>
        <v/>
      </c>
      <c r="K72" s="47"/>
      <c r="L72" s="48"/>
    </row>
    <row r="73" spans="7:12" x14ac:dyDescent="0.25">
      <c r="G73" s="35">
        <f t="shared" si="0"/>
        <v>51</v>
      </c>
      <c r="H73" s="45" t="str">
        <f>IFERROR(INDEX('Standard Controls'!$G$4:$G$97,MATCH($G73,'Standard Controls'!$L$4:$L$97,0)),"")</f>
        <v/>
      </c>
      <c r="I73" s="128"/>
      <c r="J73" s="46" t="str">
        <f>IFERROR(INDEX('Standard Controls'!$H$4:$H$97,MATCH($G73,'Standard Controls'!$L$4:$L$97,0)),"")</f>
        <v/>
      </c>
      <c r="K73" s="47"/>
      <c r="L73" s="48"/>
    </row>
    <row r="74" spans="7:12" x14ac:dyDescent="0.25">
      <c r="G74" s="35">
        <f t="shared" si="0"/>
        <v>52</v>
      </c>
      <c r="H74" s="45" t="str">
        <f>IFERROR(INDEX('Standard Controls'!$G$4:$G$97,MATCH($G74,'Standard Controls'!$L$4:$L$97,0)),"")</f>
        <v/>
      </c>
      <c r="I74" s="128"/>
      <c r="J74" s="46" t="str">
        <f>IFERROR(INDEX('Standard Controls'!$H$4:$H$97,MATCH($G74,'Standard Controls'!$L$4:$L$97,0)),"")</f>
        <v/>
      </c>
      <c r="K74" s="47"/>
      <c r="L74" s="48"/>
    </row>
    <row r="75" spans="7:12" x14ac:dyDescent="0.25">
      <c r="G75" s="35">
        <f t="shared" si="0"/>
        <v>53</v>
      </c>
      <c r="H75" s="45" t="str">
        <f>IFERROR(INDEX('Standard Controls'!$G$4:$G$97,MATCH($G75,'Standard Controls'!$L$4:$L$97,0)),"")</f>
        <v/>
      </c>
      <c r="I75" s="128"/>
      <c r="J75" s="46" t="str">
        <f>IFERROR(INDEX('Standard Controls'!$H$4:$H$97,MATCH($G75,'Standard Controls'!$L$4:$L$97,0)),"")</f>
        <v/>
      </c>
      <c r="K75" s="47"/>
      <c r="L75" s="48"/>
    </row>
    <row r="76" spans="7:12" x14ac:dyDescent="0.25">
      <c r="G76" s="35">
        <f t="shared" si="0"/>
        <v>54</v>
      </c>
      <c r="H76" s="45" t="str">
        <f>IFERROR(INDEX('Standard Controls'!$G$4:$G$97,MATCH($G76,'Standard Controls'!$L$4:$L$97,0)),"")</f>
        <v/>
      </c>
      <c r="I76" s="128"/>
      <c r="J76" s="46" t="str">
        <f>IFERROR(INDEX('Standard Controls'!$H$4:$H$97,MATCH($G76,'Standard Controls'!$L$4:$L$97,0)),"")</f>
        <v/>
      </c>
      <c r="K76" s="47"/>
      <c r="L76" s="48"/>
    </row>
    <row r="77" spans="7:12" x14ac:dyDescent="0.25">
      <c r="G77" s="35">
        <f t="shared" si="0"/>
        <v>55</v>
      </c>
      <c r="H77" s="45" t="str">
        <f>IFERROR(INDEX('Standard Controls'!$G$4:$G$97,MATCH($G77,'Standard Controls'!$L$4:$L$97,0)),"")</f>
        <v/>
      </c>
      <c r="I77" s="128"/>
      <c r="J77" s="46" t="str">
        <f>IFERROR(INDEX('Standard Controls'!$H$4:$H$97,MATCH($G77,'Standard Controls'!$L$4:$L$97,0)),"")</f>
        <v/>
      </c>
      <c r="K77" s="47"/>
      <c r="L77" s="48"/>
    </row>
    <row r="78" spans="7:12" x14ac:dyDescent="0.25">
      <c r="G78" s="35">
        <f t="shared" si="0"/>
        <v>56</v>
      </c>
      <c r="H78" s="45" t="str">
        <f>IFERROR(INDEX('Standard Controls'!$G$4:$G$97,MATCH($G78,'Standard Controls'!$L$4:$L$97,0)),"")</f>
        <v/>
      </c>
      <c r="I78" s="128"/>
      <c r="J78" s="46" t="str">
        <f>IFERROR(INDEX('Standard Controls'!$H$4:$H$97,MATCH($G78,'Standard Controls'!$L$4:$L$97,0)),"")</f>
        <v/>
      </c>
      <c r="K78" s="47"/>
      <c r="L78" s="48"/>
    </row>
    <row r="79" spans="7:12" x14ac:dyDescent="0.25">
      <c r="G79" s="35">
        <f t="shared" si="0"/>
        <v>57</v>
      </c>
      <c r="H79" s="45" t="str">
        <f>IFERROR(INDEX('Standard Controls'!$G$4:$G$97,MATCH($G79,'Standard Controls'!$L$4:$L$97,0)),"")</f>
        <v/>
      </c>
      <c r="I79" s="128"/>
      <c r="J79" s="46" t="str">
        <f>IFERROR(INDEX('Standard Controls'!$H$4:$H$97,MATCH($G79,'Standard Controls'!$L$4:$L$97,0)),"")</f>
        <v/>
      </c>
      <c r="K79" s="47"/>
      <c r="L79" s="48"/>
    </row>
    <row r="80" spans="7:12" x14ac:dyDescent="0.25">
      <c r="G80" s="35">
        <f t="shared" si="0"/>
        <v>58</v>
      </c>
      <c r="H80" s="45" t="str">
        <f>IFERROR(INDEX('Standard Controls'!$G$4:$G$97,MATCH($G80,'Standard Controls'!$L$4:$L$97,0)),"")</f>
        <v/>
      </c>
      <c r="I80" s="128"/>
      <c r="J80" s="46" t="str">
        <f>IFERROR(INDEX('Standard Controls'!$H$4:$H$97,MATCH($G80,'Standard Controls'!$L$4:$L$97,0)),"")</f>
        <v/>
      </c>
      <c r="K80" s="47"/>
      <c r="L80" s="48"/>
    </row>
    <row r="81" spans="7:12" x14ac:dyDescent="0.25">
      <c r="G81" s="35">
        <f t="shared" si="0"/>
        <v>59</v>
      </c>
      <c r="H81" s="45" t="str">
        <f>IFERROR(INDEX('Standard Controls'!$G$4:$G$97,MATCH($G81,'Standard Controls'!$L$4:$L$97,0)),"")</f>
        <v/>
      </c>
      <c r="I81" s="128"/>
      <c r="J81" s="46" t="str">
        <f>IFERROR(INDEX('Standard Controls'!$H$4:$H$97,MATCH($G81,'Standard Controls'!$L$4:$L$97,0)),"")</f>
        <v/>
      </c>
      <c r="K81" s="47"/>
      <c r="L81" s="48"/>
    </row>
    <row r="82" spans="7:12" x14ac:dyDescent="0.25">
      <c r="G82" s="35">
        <f t="shared" si="0"/>
        <v>60</v>
      </c>
      <c r="H82" s="45" t="str">
        <f>IFERROR(INDEX('Standard Controls'!$G$4:$G$97,MATCH($G82,'Standard Controls'!$L$4:$L$97,0)),"")</f>
        <v/>
      </c>
      <c r="I82" s="128"/>
      <c r="J82" s="46" t="str">
        <f>IFERROR(INDEX('Standard Controls'!$H$4:$H$97,MATCH($G82,'Standard Controls'!$L$4:$L$97,0)),"")</f>
        <v/>
      </c>
      <c r="K82" s="47"/>
      <c r="L82" s="48"/>
    </row>
    <row r="83" spans="7:12" x14ac:dyDescent="0.25">
      <c r="G83" s="35">
        <f t="shared" si="0"/>
        <v>61</v>
      </c>
      <c r="H83" s="45" t="str">
        <f>IFERROR(INDEX('Standard Controls'!$G$4:$G$97,MATCH($G83,'Standard Controls'!$L$4:$L$97,0)),"")</f>
        <v/>
      </c>
      <c r="I83" s="128"/>
      <c r="J83" s="46" t="str">
        <f>IFERROR(INDEX('Standard Controls'!$H$4:$H$97,MATCH($G83,'Standard Controls'!$L$4:$L$97,0)),"")</f>
        <v/>
      </c>
      <c r="K83" s="47"/>
      <c r="L83" s="48"/>
    </row>
    <row r="84" spans="7:12" x14ac:dyDescent="0.25">
      <c r="G84" s="35">
        <f t="shared" si="0"/>
        <v>62</v>
      </c>
      <c r="H84" s="45" t="str">
        <f>IFERROR(INDEX('Standard Controls'!$G$4:$G$97,MATCH($G84,'Standard Controls'!$L$4:$L$97,0)),"")</f>
        <v/>
      </c>
      <c r="I84" s="128"/>
      <c r="J84" s="46" t="str">
        <f>IFERROR(INDEX('Standard Controls'!$H$4:$H$97,MATCH($G84,'Standard Controls'!$L$4:$L$97,0)),"")</f>
        <v/>
      </c>
      <c r="K84" s="47"/>
      <c r="L84" s="48"/>
    </row>
    <row r="85" spans="7:12" x14ac:dyDescent="0.25">
      <c r="G85" s="35">
        <f t="shared" si="0"/>
        <v>63</v>
      </c>
      <c r="H85" s="45" t="str">
        <f>IFERROR(INDEX('Standard Controls'!$G$4:$G$97,MATCH($G85,'Standard Controls'!$L$4:$L$97,0)),"")</f>
        <v/>
      </c>
      <c r="I85" s="128"/>
      <c r="J85" s="46" t="str">
        <f>IFERROR(INDEX('Standard Controls'!$H$4:$H$97,MATCH($G85,'Standard Controls'!$L$4:$L$97,0)),"")</f>
        <v/>
      </c>
      <c r="K85" s="47"/>
      <c r="L85" s="48"/>
    </row>
    <row r="86" spans="7:12" x14ac:dyDescent="0.25">
      <c r="G86" s="35">
        <f t="shared" si="0"/>
        <v>64</v>
      </c>
      <c r="H86" s="45" t="str">
        <f>IFERROR(INDEX('Standard Controls'!$G$4:$G$97,MATCH($G86,'Standard Controls'!$L$4:$L$97,0)),"")</f>
        <v/>
      </c>
      <c r="I86" s="128"/>
      <c r="J86" s="46" t="str">
        <f>IFERROR(INDEX('Standard Controls'!$H$4:$H$97,MATCH($G86,'Standard Controls'!$L$4:$L$97,0)),"")</f>
        <v/>
      </c>
      <c r="K86" s="47"/>
      <c r="L86" s="48"/>
    </row>
    <row r="87" spans="7:12" x14ac:dyDescent="0.25">
      <c r="G87" s="35">
        <f t="shared" si="0"/>
        <v>65</v>
      </c>
      <c r="H87" s="45" t="str">
        <f>IFERROR(INDEX('Standard Controls'!$G$4:$G$97,MATCH($G87,'Standard Controls'!$L$4:$L$97,0)),"")</f>
        <v/>
      </c>
      <c r="I87" s="128"/>
      <c r="J87" s="46" t="str">
        <f>IFERROR(INDEX('Standard Controls'!$H$4:$H$97,MATCH($G87,'Standard Controls'!$L$4:$L$97,0)),"")</f>
        <v/>
      </c>
      <c r="K87" s="47"/>
      <c r="L87" s="48"/>
    </row>
    <row r="88" spans="7:12" x14ac:dyDescent="0.25">
      <c r="G88" s="35">
        <f t="shared" si="0"/>
        <v>66</v>
      </c>
      <c r="H88" s="45" t="str">
        <f>IFERROR(INDEX('Standard Controls'!$G$4:$G$97,MATCH($G88,'Standard Controls'!$L$4:$L$97,0)),"")</f>
        <v/>
      </c>
      <c r="I88" s="128"/>
      <c r="J88" s="46" t="str">
        <f>IFERROR(INDEX('Standard Controls'!$H$4:$H$97,MATCH($G88,'Standard Controls'!$L$4:$L$97,0)),"")</f>
        <v/>
      </c>
      <c r="K88" s="47"/>
      <c r="L88" s="48"/>
    </row>
    <row r="89" spans="7:12" x14ac:dyDescent="0.25">
      <c r="G89" s="35">
        <f t="shared" si="0"/>
        <v>67</v>
      </c>
      <c r="H89" s="45" t="str">
        <f>IFERROR(INDEX('Standard Controls'!$G$4:$G$97,MATCH($G89,'Standard Controls'!$L$4:$L$97,0)),"")</f>
        <v/>
      </c>
      <c r="I89" s="128"/>
      <c r="J89" s="46" t="str">
        <f>IFERROR(INDEX('Standard Controls'!$H$4:$H$97,MATCH($G89,'Standard Controls'!$L$4:$L$97,0)),"")</f>
        <v/>
      </c>
      <c r="K89" s="47"/>
      <c r="L89" s="48"/>
    </row>
    <row r="90" spans="7:12" ht="15.75" thickBot="1" x14ac:dyDescent="0.3">
      <c r="G90" s="35">
        <f t="shared" si="0"/>
        <v>68</v>
      </c>
      <c r="H90" s="72" t="str">
        <f>IFERROR(INDEX('Standard Controls'!$G$4:$G$97,MATCH($G90,'Standard Controls'!$L$4:$L$97,0)),"")</f>
        <v/>
      </c>
      <c r="I90" s="129"/>
      <c r="J90" s="73" t="str">
        <f>IFERROR(INDEX('Standard Controls'!$H$4:$H$97,MATCH($G90,'Standard Controls'!$L$4:$L$97,0)),"")</f>
        <v/>
      </c>
      <c r="K90" s="74"/>
      <c r="L90" s="75"/>
    </row>
  </sheetData>
  <sheetProtection algorithmName="SHA-512" hashValue="8d+zue4rC7Y75GNIlNS5UjGwUCHbeDfT/0Nc5p25FOJah8nnlWervtRNSg1kWRFhz70oAnPN7dt7l+0Sn/O3DQ==" saltValue="p/6ZmaDSSwR1ngwUB4Bi6Q==" spinCount="100000" sheet="1" objects="1" scenarios="1"/>
  <mergeCells count="27">
    <mergeCell ref="C2:K2"/>
    <mergeCell ref="B4:F4"/>
    <mergeCell ref="H4:L4"/>
    <mergeCell ref="B7:B11"/>
    <mergeCell ref="C7:E7"/>
    <mergeCell ref="C8:E8"/>
    <mergeCell ref="C9:E9"/>
    <mergeCell ref="C10:E10"/>
    <mergeCell ref="C11:E11"/>
    <mergeCell ref="B5:G6"/>
    <mergeCell ref="C14:D14"/>
    <mergeCell ref="E14:F14"/>
    <mergeCell ref="G14:K14"/>
    <mergeCell ref="C15:D15"/>
    <mergeCell ref="E15:F15"/>
    <mergeCell ref="G15:K15"/>
    <mergeCell ref="C16:D16"/>
    <mergeCell ref="E16:F16"/>
    <mergeCell ref="G16:K16"/>
    <mergeCell ref="C17:D17"/>
    <mergeCell ref="E17:F17"/>
    <mergeCell ref="G17:K17"/>
    <mergeCell ref="C18:D18"/>
    <mergeCell ref="E18:F18"/>
    <mergeCell ref="G18:K18"/>
    <mergeCell ref="B59:F60"/>
    <mergeCell ref="D22:F22"/>
  </mergeCells>
  <dataValidations count="3">
    <dataValidation type="list" allowBlank="1" showInputMessage="1" showErrorMessage="1" sqref="D38" xr:uid="{8CA1F794-6692-4199-A070-7EC74F429FF6}">
      <formula1>$I$19:$I$21</formula1>
    </dataValidation>
    <dataValidation type="list" allowBlank="1" showInputMessage="1" showErrorMessage="1" sqref="I23:I90 C23:C38 C40:C43" xr:uid="{FDD52C9F-6686-4D9E-A42F-D51A3D4BD2D8}">
      <formula1>$M$19:$M$21</formula1>
    </dataValidation>
    <dataValidation type="list" allowBlank="1" showInputMessage="1" showErrorMessage="1" sqref="C39" xr:uid="{EBB2345B-B55B-4946-B4A7-072C05C57E6A}">
      <formula1>$M$19:$M$22</formula1>
    </dataValidation>
  </dataValidations>
  <pageMargins left="0.43307086614173229" right="0.43307086614173229" top="0.74803149606299213" bottom="0.74803149606299213" header="0.31496062992125984" footer="0.31496062992125984"/>
  <pageSetup paperSize="9" scale="80" orientation="landscape" r:id="rId1"/>
  <headerFooter>
    <oddFooter xml:space="preserve">&amp;L&amp;9&amp;F&amp;R&amp;9Page &amp;P of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3E1E-4270-453E-BF0E-438ED8CDC12A}">
  <dimension ref="A1:AG334"/>
  <sheetViews>
    <sheetView zoomScaleNormal="100" workbookViewId="0">
      <selection activeCell="AD11" sqref="AD11"/>
    </sheetView>
  </sheetViews>
  <sheetFormatPr defaultRowHeight="15" x14ac:dyDescent="0.25"/>
  <cols>
    <col min="1" max="1" width="5.42578125" style="5" customWidth="1"/>
    <col min="2" max="2" width="7" style="5" customWidth="1"/>
    <col min="3" max="4" width="9.85546875" style="5" customWidth="1"/>
    <col min="5" max="5" width="9.85546875" customWidth="1"/>
    <col min="6" max="7" width="9.85546875" style="5" customWidth="1"/>
    <col min="8" max="8" width="10.5703125" style="5" customWidth="1"/>
    <col min="9" max="9" width="4.42578125" customWidth="1"/>
    <col min="10" max="10" width="14.85546875" customWidth="1"/>
    <col min="11" max="12" width="17.5703125" customWidth="1"/>
    <col min="13" max="13" width="14.5703125" customWidth="1"/>
    <col min="14" max="15" width="17.5703125" customWidth="1"/>
    <col min="16" max="17" width="5.85546875" customWidth="1"/>
    <col min="18" max="18" width="14.5703125" customWidth="1"/>
    <col min="19" max="19" width="18.85546875" style="83" customWidth="1"/>
    <col min="20" max="20" width="23.5703125" style="84" customWidth="1"/>
    <col min="21" max="21" width="30.5703125" customWidth="1"/>
    <col min="22" max="22" width="5.85546875" customWidth="1"/>
    <col min="24" max="24" width="39.5703125" customWidth="1"/>
    <col min="27" max="27" width="25.42578125" customWidth="1"/>
    <col min="30" max="30" width="13.42578125" customWidth="1"/>
    <col min="31" max="31" width="22.42578125" customWidth="1"/>
    <col min="33" max="33" width="7.42578125" customWidth="1"/>
  </cols>
  <sheetData>
    <row r="1" spans="1:33" ht="15.75" thickBot="1" x14ac:dyDescent="0.3">
      <c r="A1" s="85" t="s">
        <v>108</v>
      </c>
      <c r="B1" s="85" t="s">
        <v>262</v>
      </c>
      <c r="C1" s="85" t="s">
        <v>109</v>
      </c>
      <c r="D1" s="85" t="s">
        <v>110</v>
      </c>
      <c r="F1" s="5" t="s">
        <v>59</v>
      </c>
      <c r="G1" s="5" t="s">
        <v>99</v>
      </c>
      <c r="H1" s="5" t="s">
        <v>59</v>
      </c>
      <c r="I1" s="88"/>
      <c r="J1" s="89" t="s">
        <v>263</v>
      </c>
      <c r="K1" s="89" t="s">
        <v>264</v>
      </c>
      <c r="L1" s="89" t="s">
        <v>265</v>
      </c>
      <c r="M1" s="89" t="s">
        <v>266</v>
      </c>
      <c r="N1" s="89" t="s">
        <v>267</v>
      </c>
      <c r="O1" s="98" t="s">
        <v>268</v>
      </c>
      <c r="P1" s="90"/>
      <c r="Q1" s="60"/>
      <c r="R1" t="s">
        <v>269</v>
      </c>
      <c r="S1" s="83" t="s">
        <v>59</v>
      </c>
      <c r="T1" s="84" t="s">
        <v>270</v>
      </c>
      <c r="W1" s="169" t="s">
        <v>271</v>
      </c>
      <c r="X1" s="169" t="s">
        <v>272</v>
      </c>
      <c r="Z1" s="82" t="s">
        <v>271</v>
      </c>
      <c r="AA1" s="82" t="s">
        <v>273</v>
      </c>
      <c r="AD1" s="2" t="s">
        <v>274</v>
      </c>
      <c r="AE1" s="2" t="s">
        <v>147</v>
      </c>
    </row>
    <row r="2" spans="1:33" ht="36" customHeight="1" thickBot="1" x14ac:dyDescent="0.3">
      <c r="A2" s="85">
        <v>1</v>
      </c>
      <c r="B2" s="85" t="str">
        <f>IF(IFERROR(INDEX('SOP register'!$A:$A,MATCH(CONCATENATE('SOP template'!$B$1,".",A2),'SOP register'!$G:$G,0)),"")=1,MAX(B$1:B1)+1,"")</f>
        <v/>
      </c>
      <c r="C2" s="85" t="str">
        <f>IF(B2="","",IF(ISODD(B2),A2,""))</f>
        <v/>
      </c>
      <c r="D2" s="85" t="str">
        <f t="shared" ref="D2:D12" si="0">IF(B2="","",IF(AND(ISNUMBER(B2),C2=""),A2,""))</f>
        <v/>
      </c>
      <c r="E2" s="4"/>
      <c r="F2" s="116" t="str">
        <f>IFERROR(TEXT(INDEX(C:C,MATCH(1,B:B,0)),"00")&amp;"."&amp;IFERROR(TEXT(INDEX(D:D,MATCH(2,B:B,0)),"00"),"00"),"")</f>
        <v>02.07</v>
      </c>
      <c r="G2" s="85">
        <f>IF(OR(ISNUMBER(SEARCH(Ref!$H2,Ref!$F$2)),ISNUMBER(SEARCH(Ref!$H2,Ref!$F$3)),ISNUMBER(SEARCH(Ref!$H2,Ref!$F$4)),ISNUMBER(SEARCH(Ref!$H2,Ref!$F$5)),ISNUMBER(SEARCH(Ref!$H2,Ref!$F$6)),ISNUMBER(SEARCH(Ref!$H2,Ref!$F$7)),ISNUMBER(SEARCH(Ref!$H2,Ref!$F$8))),"",1)</f>
        <v>1</v>
      </c>
      <c r="H2" s="85" t="str">
        <f t="shared" ref="H2:H27" si="1">TEXT(INDEX($A$2:$A$27,MATCH(K2,$K$2:$K$27,0)),"00")&amp;"."&amp;"00"</f>
        <v>01.00</v>
      </c>
      <c r="I2" s="109"/>
      <c r="J2" s="91"/>
      <c r="K2" s="92" t="s">
        <v>117</v>
      </c>
      <c r="L2" s="111"/>
      <c r="M2" s="101"/>
      <c r="N2" s="101"/>
      <c r="O2" s="112"/>
      <c r="P2" s="102"/>
      <c r="Q2" s="5"/>
      <c r="R2" s="5">
        <v>1</v>
      </c>
      <c r="S2" s="84" t="str">
        <f>'SOP register'!K4</f>
        <v>ALP.BSP.SOP.001</v>
      </c>
      <c r="T2" s="84" t="str">
        <f>'SOP register'!L4</f>
        <v>Laboratory Entry and Exit</v>
      </c>
      <c r="U2" s="5"/>
      <c r="V2" s="5"/>
      <c r="W2" s="167" t="s">
        <v>275</v>
      </c>
      <c r="X2" s="168" t="s">
        <v>276</v>
      </c>
      <c r="Z2" s="359" t="s">
        <v>393</v>
      </c>
      <c r="AA2" s="359" t="s">
        <v>394</v>
      </c>
      <c r="AD2" s="15" t="s">
        <v>540</v>
      </c>
      <c r="AE2" s="4" t="s">
        <v>277</v>
      </c>
      <c r="AF2" s="15" t="s">
        <v>278</v>
      </c>
      <c r="AG2" s="5">
        <v>6</v>
      </c>
    </row>
    <row r="3" spans="1:33" ht="36" customHeight="1" thickBot="1" x14ac:dyDescent="0.3">
      <c r="A3" s="85">
        <f>A2+1</f>
        <v>2</v>
      </c>
      <c r="B3" s="85">
        <f>IF(IFERROR(INDEX('SOP register'!$A:$A,MATCH(CONCATENATE('SOP template'!$B$1,".",A3),'SOP register'!$G:$G,0)),"")=1,MAX(B$1:B2)+1,"")</f>
        <v>1</v>
      </c>
      <c r="C3" s="85">
        <f>IF(B3="","",IF(ISODD(B3),A3,""))</f>
        <v>2</v>
      </c>
      <c r="D3" s="85" t="str">
        <f t="shared" si="0"/>
        <v/>
      </c>
      <c r="E3" s="4"/>
      <c r="F3" s="116" t="str">
        <f>IFERROR(TEXT(INDEX(C:C,MATCH(3,B:B,0)),"00")&amp;"."&amp;IFERROR(TEXT(INDEX(D:D,MATCH(4,B:B,0)),"00"),"00"),"")</f>
        <v>11.14</v>
      </c>
      <c r="G3" s="85">
        <f t="shared" ref="G3:G66" si="2">IF(OR(
ISNUMBER(SEARCH($H3,$F$2)),ISNUMBER(SEARCH($H3,$F$3)),ISNUMBER(SEARCH($H3,$F$4)),ISNUMBER(SEARCH($H3,$F$5)),ISNUMBER(SEARCH($H3,$F$6)),ISNUMBER(SEARCH($H3,$F$7)),ISNUMBER(SEARCH($H3,$F$8))),"",1)</f>
        <v>1</v>
      </c>
      <c r="H3" s="85" t="str">
        <f t="shared" si="1"/>
        <v>02.00</v>
      </c>
      <c r="I3" s="109"/>
      <c r="J3" s="91"/>
      <c r="K3" s="92" t="s">
        <v>94</v>
      </c>
      <c r="L3" s="111"/>
      <c r="M3" s="101"/>
      <c r="N3" s="101"/>
      <c r="O3" s="112"/>
      <c r="P3" s="102"/>
      <c r="Q3" s="5"/>
      <c r="R3" s="5">
        <v>2</v>
      </c>
      <c r="S3" s="84" t="str">
        <f>'SOP register'!K22</f>
        <v>ALP.BSP.SOP.002</v>
      </c>
      <c r="T3" s="84" t="str">
        <f>'SOP register'!L22</f>
        <v>Contractor laboratory access</v>
      </c>
      <c r="U3" s="5"/>
      <c r="V3" s="5"/>
      <c r="W3" s="167" t="s">
        <v>96</v>
      </c>
      <c r="X3" s="168" t="s">
        <v>281</v>
      </c>
      <c r="Z3" s="359" t="s">
        <v>395</v>
      </c>
      <c r="AA3" s="359" t="s">
        <v>396</v>
      </c>
      <c r="AD3" s="16" t="s">
        <v>541</v>
      </c>
      <c r="AE3" s="4" t="s">
        <v>282</v>
      </c>
      <c r="AF3" s="16" t="s">
        <v>206</v>
      </c>
      <c r="AG3" s="5">
        <v>12</v>
      </c>
    </row>
    <row r="4" spans="1:33" ht="36" customHeight="1" thickBot="1" x14ac:dyDescent="0.3">
      <c r="A4" s="85">
        <f t="shared" ref="A4:A27" si="3">A3+1</f>
        <v>3</v>
      </c>
      <c r="B4" s="85" t="str">
        <f>IF(IFERROR(INDEX('SOP register'!$A:$A,MATCH(CONCATENATE('SOP template'!$B$1,".",A4),'SOP register'!$G:$G,0)),"")=1,MAX(B$1:B3)+1,"")</f>
        <v/>
      </c>
      <c r="C4" s="85" t="str">
        <f t="shared" ref="C4:C27" si="4">IF(B4="","",IF(ISODD(B4),A4,""))</f>
        <v/>
      </c>
      <c r="D4" s="85" t="str">
        <f t="shared" si="0"/>
        <v/>
      </c>
      <c r="E4" s="4"/>
      <c r="F4" s="116" t="str">
        <f>IFERROR(TEXT(INDEX(C:C,MATCH(5,B:B,0)),"00")&amp;"."&amp;IFERROR(TEXT(INDEX(D:D,MATCH(6,B:B,0)),"00"),"00"),"")</f>
        <v>17.20</v>
      </c>
      <c r="G4" s="85">
        <f t="shared" si="2"/>
        <v>1</v>
      </c>
      <c r="H4" s="85" t="str">
        <f t="shared" si="1"/>
        <v>03.00</v>
      </c>
      <c r="I4" s="109"/>
      <c r="J4" s="91"/>
      <c r="K4" s="92" t="s">
        <v>118</v>
      </c>
      <c r="L4" s="111"/>
      <c r="M4" s="101"/>
      <c r="N4" s="101"/>
      <c r="O4" s="112"/>
      <c r="P4" s="102"/>
      <c r="Q4" s="5"/>
      <c r="R4" s="5">
        <v>3</v>
      </c>
      <c r="S4" s="84" t="str">
        <f>'SOP register'!K40</f>
        <v>ALP.BSP.SOP.003</v>
      </c>
      <c r="T4" s="84" t="str">
        <f>'SOP register'!L40</f>
        <v>Receiving and moving biological specimens</v>
      </c>
      <c r="U4" s="5"/>
      <c r="V4" s="5"/>
      <c r="W4" s="167" t="s">
        <v>279</v>
      </c>
      <c r="X4" s="168" t="s">
        <v>392</v>
      </c>
      <c r="Z4" s="359" t="s">
        <v>397</v>
      </c>
      <c r="AA4" s="360" t="s">
        <v>398</v>
      </c>
      <c r="AD4" s="17" t="s">
        <v>542</v>
      </c>
      <c r="AE4" s="4" t="s">
        <v>284</v>
      </c>
      <c r="AF4" s="17" t="s">
        <v>280</v>
      </c>
      <c r="AG4" s="5">
        <v>24</v>
      </c>
    </row>
    <row r="5" spans="1:33" ht="36" customHeight="1" thickBot="1" x14ac:dyDescent="0.3">
      <c r="A5" s="85">
        <f t="shared" si="3"/>
        <v>4</v>
      </c>
      <c r="B5" s="85" t="str">
        <f>IF(IFERROR(INDEX('SOP register'!$A:$A,MATCH(CONCATENATE('SOP template'!$B$1,".",A5),'SOP register'!$G:$G,0)),"")=1,MAX(B$1:B4)+1,"")</f>
        <v/>
      </c>
      <c r="C5" s="85" t="str">
        <f t="shared" si="4"/>
        <v/>
      </c>
      <c r="D5" s="85" t="str">
        <f t="shared" si="0"/>
        <v/>
      </c>
      <c r="E5" s="4"/>
      <c r="F5" s="116" t="str">
        <f>IFERROR(TEXT(INDEX(C:C,MATCH(7,B:B,0)),"00")&amp;"."&amp;IFERROR(TEXT(INDEX(D:D,MATCH(8,B:B,0)),"00"),"00"),"")</f>
        <v/>
      </c>
      <c r="G5" s="85">
        <f t="shared" si="2"/>
        <v>1</v>
      </c>
      <c r="H5" s="85" t="str">
        <f t="shared" si="1"/>
        <v>04.00</v>
      </c>
      <c r="I5" s="109"/>
      <c r="J5" s="91"/>
      <c r="K5" s="92" t="s">
        <v>119</v>
      </c>
      <c r="L5" s="111"/>
      <c r="M5" s="101"/>
      <c r="N5" s="101"/>
      <c r="O5" s="112"/>
      <c r="P5" s="102"/>
      <c r="Q5" s="5"/>
      <c r="R5" s="5">
        <v>4</v>
      </c>
      <c r="S5" s="84" t="str">
        <f>'SOP register'!K58</f>
        <v>ALP.BSP.SOP.004</v>
      </c>
      <c r="T5" s="84" t="str">
        <f>'SOP register'!L58</f>
        <v>Use of Walk In Freezer</v>
      </c>
      <c r="U5" s="5"/>
      <c r="V5" s="5"/>
      <c r="W5" s="167"/>
      <c r="X5" s="168"/>
      <c r="Z5" s="359" t="s">
        <v>399</v>
      </c>
      <c r="AA5" s="359" t="s">
        <v>400</v>
      </c>
      <c r="AD5" s="145" t="s">
        <v>543</v>
      </c>
      <c r="AE5" s="4" t="s">
        <v>285</v>
      </c>
      <c r="AF5" s="145" t="s">
        <v>283</v>
      </c>
      <c r="AG5" s="5">
        <v>36</v>
      </c>
    </row>
    <row r="6" spans="1:33" ht="36" customHeight="1" thickBot="1" x14ac:dyDescent="0.3">
      <c r="A6" s="85">
        <f t="shared" si="3"/>
        <v>5</v>
      </c>
      <c r="B6" s="85" t="str">
        <f>IF(IFERROR(INDEX('SOP register'!$A:$A,MATCH(CONCATENATE('SOP template'!$B$1,".",A6),'SOP register'!$G:$G,0)),"")=1,MAX(B$1:B5)+1,"")</f>
        <v/>
      </c>
      <c r="C6" s="85" t="str">
        <f t="shared" si="4"/>
        <v/>
      </c>
      <c r="D6" s="85" t="str">
        <f t="shared" si="0"/>
        <v/>
      </c>
      <c r="E6" s="4"/>
      <c r="F6" s="116" t="str">
        <f>IFERROR(TEXT(INDEX(C:C,MATCH(9,B:B,0)),"00")&amp;"."&amp;IFERROR(TEXT(INDEX(D:D,MATCH(10,B:B,0)),"00"),"00"),"")</f>
        <v/>
      </c>
      <c r="G6" s="85">
        <f t="shared" si="2"/>
        <v>1</v>
      </c>
      <c r="H6" s="85" t="str">
        <f t="shared" si="1"/>
        <v>05.00</v>
      </c>
      <c r="I6" s="109"/>
      <c r="J6" s="91"/>
      <c r="K6" s="92" t="s">
        <v>120</v>
      </c>
      <c r="L6" s="111"/>
      <c r="M6" s="101"/>
      <c r="N6" s="101"/>
      <c r="O6" s="112"/>
      <c r="P6" s="102"/>
      <c r="Q6" s="5"/>
      <c r="R6" s="5">
        <v>5</v>
      </c>
      <c r="S6" s="84" t="str">
        <f>'SOP register'!K76</f>
        <v>ALP.BSP.SOP.005</v>
      </c>
      <c r="T6" s="84" t="str">
        <f>'SOP register'!L76</f>
        <v>Triage of Specimens in the BSP freezer</v>
      </c>
      <c r="U6" s="5"/>
      <c r="V6" s="5"/>
      <c r="W6" s="167"/>
      <c r="X6" s="168"/>
      <c r="Z6" s="359" t="s">
        <v>401</v>
      </c>
      <c r="AA6" s="359" t="s">
        <v>402</v>
      </c>
    </row>
    <row r="7" spans="1:33" ht="36" customHeight="1" thickBot="1" x14ac:dyDescent="0.3">
      <c r="A7" s="85">
        <f t="shared" si="3"/>
        <v>6</v>
      </c>
      <c r="B7" s="85" t="str">
        <f>IF(IFERROR(INDEX('SOP register'!$A:$A,MATCH(CONCATENATE('SOP template'!$B$1,".",A7),'SOP register'!$G:$G,0)),"")=1,MAX(B$1:B6)+1,"")</f>
        <v/>
      </c>
      <c r="C7" s="85" t="str">
        <f t="shared" si="4"/>
        <v/>
      </c>
      <c r="D7" s="85" t="str">
        <f>IF(B7="","",IF(AND(ISNUMBER(B7),C7=""),A7,""))</f>
        <v/>
      </c>
      <c r="E7" s="4"/>
      <c r="F7" s="116" t="str">
        <f>IFERROR(TEXT(INDEX(C:C,MATCH(11,B:B,0)),"00")&amp;"."&amp;IFERROR(TEXT(INDEX(D:D,MATCH(12,B:B,0)),"00"),"00"),"")</f>
        <v/>
      </c>
      <c r="G7" s="85">
        <f t="shared" si="2"/>
        <v>1</v>
      </c>
      <c r="H7" s="85" t="str">
        <f t="shared" si="1"/>
        <v>06.00</v>
      </c>
      <c r="I7" s="109"/>
      <c r="J7" s="91"/>
      <c r="K7" s="92" t="s">
        <v>121</v>
      </c>
      <c r="L7" s="111"/>
      <c r="M7" s="101"/>
      <c r="N7" s="101"/>
      <c r="O7" s="112"/>
      <c r="P7" s="102"/>
      <c r="Q7" s="5"/>
      <c r="R7" s="5">
        <v>6</v>
      </c>
      <c r="S7" s="84" t="str">
        <f>'SOP register'!K94</f>
        <v>ALP.BSP.SOP.006</v>
      </c>
      <c r="T7" s="84" t="str">
        <f>'SOP register'!L94</f>
        <v>Clinical Waste Movement and Pick Up</v>
      </c>
      <c r="U7" s="5"/>
      <c r="V7" s="5"/>
      <c r="W7" s="169"/>
      <c r="X7" s="169"/>
      <c r="Z7" s="82"/>
      <c r="AA7" s="82"/>
    </row>
    <row r="8" spans="1:33" ht="36" customHeight="1" thickBot="1" x14ac:dyDescent="0.3">
      <c r="A8" s="85">
        <f t="shared" si="3"/>
        <v>7</v>
      </c>
      <c r="B8" s="85">
        <f>IF(IFERROR(INDEX('SOP register'!$A:$A,MATCH(CONCATENATE('SOP template'!$B$1,".",A8),'SOP register'!$G:$G,0)),"")=1,MAX(B$1:B7)+1,"")</f>
        <v>2</v>
      </c>
      <c r="C8" s="85" t="str">
        <f t="shared" si="4"/>
        <v/>
      </c>
      <c r="D8" s="85">
        <f t="shared" si="0"/>
        <v>7</v>
      </c>
      <c r="E8" s="4"/>
      <c r="F8" s="116" t="str">
        <f>IFERROR(TEXT(INDEX(C:C,MATCH(13,B:B,0)),"00")&amp;"."&amp;IFERROR(TEXT(INDEX(D:D,MATCH(14,B:B,0)),"00"),"00"),"")</f>
        <v/>
      </c>
      <c r="G8" s="85">
        <f t="shared" si="2"/>
        <v>1</v>
      </c>
      <c r="H8" s="85" t="str">
        <f t="shared" si="1"/>
        <v>07.00</v>
      </c>
      <c r="I8" s="109"/>
      <c r="J8" s="91"/>
      <c r="K8" s="92" t="s">
        <v>88</v>
      </c>
      <c r="L8" s="111"/>
      <c r="M8" s="101"/>
      <c r="N8" s="101"/>
      <c r="O8" s="112"/>
      <c r="P8" s="102"/>
      <c r="Q8" s="5"/>
      <c r="R8" s="5">
        <v>7</v>
      </c>
      <c r="S8" s="84" t="str">
        <f>'SOP register'!K112</f>
        <v>ALP.BSP.SOP.007</v>
      </c>
      <c r="T8" s="84" t="str">
        <f>'SOP register'!L112</f>
        <v>Sharps use and disposal</v>
      </c>
      <c r="U8" s="5"/>
      <c r="V8" s="5"/>
      <c r="W8" s="169"/>
      <c r="X8" s="169"/>
      <c r="Z8" s="82"/>
      <c r="AA8" s="82"/>
    </row>
    <row r="9" spans="1:33" ht="36" customHeight="1" thickBot="1" x14ac:dyDescent="0.3">
      <c r="A9" s="85">
        <f t="shared" si="3"/>
        <v>8</v>
      </c>
      <c r="B9" s="85" t="str">
        <f>IF(IFERROR(INDEX('SOP register'!$A:$A,MATCH(CONCATENATE('SOP template'!$B$1,".",A9),'SOP register'!$G:$G,0)),"")=1,MAX(B$1:B8)+1,"")</f>
        <v/>
      </c>
      <c r="C9" s="85" t="str">
        <f t="shared" si="4"/>
        <v/>
      </c>
      <c r="D9" s="85" t="str">
        <f t="shared" si="0"/>
        <v/>
      </c>
      <c r="E9" s="4"/>
      <c r="G9" s="85">
        <f t="shared" si="2"/>
        <v>1</v>
      </c>
      <c r="H9" s="85" t="str">
        <f t="shared" si="1"/>
        <v>08.00</v>
      </c>
      <c r="I9" s="109"/>
      <c r="J9" s="91"/>
      <c r="K9" s="92" t="s">
        <v>122</v>
      </c>
      <c r="L9" s="111"/>
      <c r="M9" s="101"/>
      <c r="N9" s="101"/>
      <c r="O9" s="112"/>
      <c r="P9" s="102"/>
      <c r="Q9" s="5"/>
      <c r="R9" s="5">
        <v>8</v>
      </c>
      <c r="S9" s="84" t="str">
        <f>'SOP register'!K130</f>
        <v>ALP.BSP.SOP.008</v>
      </c>
      <c r="T9" s="84" t="str">
        <f>'SOP register'!L130</f>
        <v>Chemical handling &amp; storage</v>
      </c>
      <c r="U9" s="5"/>
      <c r="V9" s="5"/>
      <c r="W9" s="169"/>
      <c r="X9" s="169"/>
    </row>
    <row r="10" spans="1:33" ht="36" customHeight="1" thickBot="1" x14ac:dyDescent="0.3">
      <c r="A10" s="85">
        <f t="shared" si="3"/>
        <v>9</v>
      </c>
      <c r="B10" s="85" t="str">
        <f>IF(IFERROR(INDEX('SOP register'!$A:$A,MATCH(CONCATENATE('SOP template'!$B$1,".",A10),'SOP register'!$G:$G,0)),"")=1,MAX(B$1:B9)+1,"")</f>
        <v/>
      </c>
      <c r="C10" s="85" t="str">
        <f t="shared" si="4"/>
        <v/>
      </c>
      <c r="D10" s="85" t="str">
        <f t="shared" si="0"/>
        <v/>
      </c>
      <c r="E10" s="4"/>
      <c r="G10" s="85">
        <f t="shared" si="2"/>
        <v>1</v>
      </c>
      <c r="H10" s="85" t="str">
        <f t="shared" si="1"/>
        <v>09.00</v>
      </c>
      <c r="I10" s="109"/>
      <c r="J10" s="91"/>
      <c r="K10" s="92" t="s">
        <v>123</v>
      </c>
      <c r="L10" s="111"/>
      <c r="M10" s="101"/>
      <c r="N10" s="101"/>
      <c r="O10" s="112"/>
      <c r="P10" s="102"/>
      <c r="Q10" s="5"/>
      <c r="R10" s="5">
        <f>R9+1</f>
        <v>9</v>
      </c>
      <c r="S10" s="84" t="str">
        <f>'SOP register'!K148</f>
        <v>ALP.BSP.SOP.009</v>
      </c>
      <c r="T10" s="84" t="str">
        <f>'SOP register'!L148</f>
        <v>Fume cupboard</v>
      </c>
      <c r="U10" s="5"/>
      <c r="V10" s="5"/>
    </row>
    <row r="11" spans="1:33" ht="36" customHeight="1" thickBot="1" x14ac:dyDescent="0.3">
      <c r="A11" s="85">
        <f>A10+1</f>
        <v>10</v>
      </c>
      <c r="B11" s="85" t="str">
        <f>IF(IFERROR(INDEX('SOP register'!$A:$A,MATCH(CONCATENATE('SOP template'!$B$1,".",A11),'SOP register'!$G:$G,0)),"")=1,MAX(B$1:B10)+1,"")</f>
        <v/>
      </c>
      <c r="C11" s="85" t="str">
        <f t="shared" si="4"/>
        <v/>
      </c>
      <c r="D11" s="85" t="str">
        <f t="shared" si="0"/>
        <v/>
      </c>
      <c r="E11" s="4"/>
      <c r="G11" s="85">
        <f t="shared" si="2"/>
        <v>1</v>
      </c>
      <c r="H11" s="85" t="str">
        <f t="shared" si="1"/>
        <v>10.00</v>
      </c>
      <c r="I11" s="109"/>
      <c r="J11" s="91"/>
      <c r="K11" s="92" t="s">
        <v>124</v>
      </c>
      <c r="L11" s="111"/>
      <c r="M11" s="101"/>
      <c r="N11" s="101"/>
      <c r="O11" s="112"/>
      <c r="P11" s="102"/>
      <c r="Q11" s="5"/>
      <c r="R11" s="5">
        <f t="shared" ref="R11:R33" si="5">R10+1</f>
        <v>10</v>
      </c>
      <c r="S11" s="84" t="str">
        <f>'SOP register'!K166</f>
        <v>ALP.BSP.SOP.010</v>
      </c>
      <c r="T11" s="84" t="str">
        <f>'SOP register'!L166</f>
        <v>Nederman Arm</v>
      </c>
      <c r="U11" s="5"/>
      <c r="V11" s="5"/>
    </row>
    <row r="12" spans="1:33" ht="36" customHeight="1" thickBot="1" x14ac:dyDescent="0.3">
      <c r="A12" s="85">
        <f t="shared" si="3"/>
        <v>11</v>
      </c>
      <c r="B12" s="85">
        <f>IF(IFERROR(INDEX('SOP register'!$A:$A,MATCH(CONCATENATE('SOP template'!$B$1,".",A12),'SOP register'!$G:$G,0)),"")=1,MAX(B$1:B11)+1,"")</f>
        <v>3</v>
      </c>
      <c r="C12" s="85">
        <f t="shared" si="4"/>
        <v>11</v>
      </c>
      <c r="D12" s="85" t="str">
        <f t="shared" si="0"/>
        <v/>
      </c>
      <c r="E12" s="4"/>
      <c r="G12" s="85">
        <f t="shared" si="2"/>
        <v>1</v>
      </c>
      <c r="H12" s="85" t="str">
        <f t="shared" si="1"/>
        <v>11.00</v>
      </c>
      <c r="I12" s="109"/>
      <c r="J12" s="91"/>
      <c r="K12" s="92" t="s">
        <v>95</v>
      </c>
      <c r="L12" s="111"/>
      <c r="M12" s="101"/>
      <c r="N12" s="101"/>
      <c r="O12" s="112"/>
      <c r="P12" s="102"/>
      <c r="Q12" s="5"/>
      <c r="R12" s="5">
        <f t="shared" si="5"/>
        <v>11</v>
      </c>
      <c r="S12" s="84" t="str">
        <f>'SOP register'!K184</f>
        <v>ALP.BSP.SOP.011</v>
      </c>
      <c r="T12" s="84" t="str">
        <f>'SOP register'!L184</f>
        <v>Trolley / Dolley and pneumatic trolley use</v>
      </c>
      <c r="U12" s="5"/>
      <c r="V12" s="5"/>
    </row>
    <row r="13" spans="1:33" ht="36" customHeight="1" thickBot="1" x14ac:dyDescent="0.3">
      <c r="A13" s="85">
        <f t="shared" si="3"/>
        <v>12</v>
      </c>
      <c r="B13" s="85" t="str">
        <f>IF(IFERROR(INDEX('SOP register'!$A:$A,MATCH(CONCATENATE('SOP template'!$B$1,".",A13),'SOP register'!$G:$G,0)),"")=1,MAX(B$1:B12)+1,"")</f>
        <v/>
      </c>
      <c r="C13" s="85" t="str">
        <f t="shared" si="4"/>
        <v/>
      </c>
      <c r="D13" s="85" t="str">
        <f>IF(B13="","",IF(AND(ISNUMBER(B13),C13=""),A13,""))</f>
        <v/>
      </c>
      <c r="E13" s="4"/>
      <c r="G13" s="85">
        <f t="shared" si="2"/>
        <v>1</v>
      </c>
      <c r="H13" s="85" t="str">
        <f t="shared" si="1"/>
        <v>12.00</v>
      </c>
      <c r="I13" s="109"/>
      <c r="J13" s="91"/>
      <c r="K13" s="92" t="s">
        <v>125</v>
      </c>
      <c r="L13" s="111"/>
      <c r="M13" s="101"/>
      <c r="N13" s="101"/>
      <c r="O13" s="112"/>
      <c r="P13" s="102"/>
      <c r="Q13" s="5"/>
      <c r="R13" s="5">
        <f t="shared" si="5"/>
        <v>12</v>
      </c>
      <c r="S13" s="84" t="str">
        <f>'SOP register'!K202</f>
        <v>ALP.BSP.SOP.012</v>
      </c>
      <c r="T13" s="84" t="str">
        <f>'SOP register'!L202</f>
        <v>Soak Tank</v>
      </c>
      <c r="U13" s="5"/>
      <c r="V13" s="5"/>
    </row>
    <row r="14" spans="1:33" ht="36" customHeight="1" thickBot="1" x14ac:dyDescent="0.3">
      <c r="A14" s="85">
        <f t="shared" si="3"/>
        <v>13</v>
      </c>
      <c r="B14" s="85" t="str">
        <f>IF(IFERROR(INDEX('SOP register'!$A:$A,MATCH(CONCATENATE('SOP template'!$B$1,".",A14),'SOP register'!$G:$G,0)),"")=1,MAX(B$1:B13)+1,"")</f>
        <v/>
      </c>
      <c r="C14" s="85" t="str">
        <f t="shared" si="4"/>
        <v/>
      </c>
      <c r="D14" s="85" t="str">
        <f t="shared" ref="D14:D27" si="6">IF(B14="","",IF(AND(ISNUMBER(B14),C14=""),A14,""))</f>
        <v/>
      </c>
      <c r="E14" s="4"/>
      <c r="G14" s="85">
        <f t="shared" si="2"/>
        <v>1</v>
      </c>
      <c r="H14" s="85" t="str">
        <f t="shared" si="1"/>
        <v>13.00</v>
      </c>
      <c r="I14" s="109"/>
      <c r="J14" s="91"/>
      <c r="K14" s="92" t="s">
        <v>126</v>
      </c>
      <c r="L14" s="111"/>
      <c r="M14" s="101"/>
      <c r="N14" s="101"/>
      <c r="O14" s="112"/>
      <c r="P14" s="102"/>
      <c r="Q14" s="5"/>
      <c r="R14" s="5">
        <f t="shared" si="5"/>
        <v>13</v>
      </c>
      <c r="S14" s="84" t="str">
        <f>'SOP register'!K220</f>
        <v>ALP.BSP.SOP.013</v>
      </c>
      <c r="T14" s="84" t="str">
        <f>'SOP register'!L220</f>
        <v>Necropsy table</v>
      </c>
      <c r="U14" s="5"/>
      <c r="V14" s="5"/>
    </row>
    <row r="15" spans="1:33" ht="36" customHeight="1" thickBot="1" x14ac:dyDescent="0.3">
      <c r="A15" s="85">
        <f t="shared" si="3"/>
        <v>14</v>
      </c>
      <c r="B15" s="85">
        <f>IF(IFERROR(INDEX('SOP register'!$A:$A,MATCH(CONCATENATE('SOP template'!$B$1,".",A15),'SOP register'!$G:$G,0)),"")=1,MAX(B$1:B14)+1,"")</f>
        <v>4</v>
      </c>
      <c r="C15" s="85" t="str">
        <f t="shared" si="4"/>
        <v/>
      </c>
      <c r="D15" s="85">
        <f t="shared" si="6"/>
        <v>14</v>
      </c>
      <c r="E15" s="4"/>
      <c r="G15" s="85">
        <f t="shared" si="2"/>
        <v>1</v>
      </c>
      <c r="H15" s="85" t="str">
        <f t="shared" si="1"/>
        <v>14.00</v>
      </c>
      <c r="I15" s="109"/>
      <c r="J15" s="91"/>
      <c r="K15" s="92" t="s">
        <v>127</v>
      </c>
      <c r="L15" s="111"/>
      <c r="M15" s="101"/>
      <c r="N15" s="101"/>
      <c r="O15" s="112"/>
      <c r="P15" s="102"/>
      <c r="Q15" s="5"/>
      <c r="R15" s="5">
        <f t="shared" si="5"/>
        <v>14</v>
      </c>
      <c r="S15" s="84" t="str">
        <f>'SOP register'!K238</f>
        <v>ALP.BSP.SOP.014</v>
      </c>
      <c r="T15" s="84" t="str">
        <f>'SOP register'!L238</f>
        <v>Dermestid room use</v>
      </c>
      <c r="U15" s="5"/>
      <c r="V15" s="5"/>
    </row>
    <row r="16" spans="1:33" ht="36" customHeight="1" thickBot="1" x14ac:dyDescent="0.3">
      <c r="A16" s="85">
        <f t="shared" si="3"/>
        <v>15</v>
      </c>
      <c r="B16" s="85" t="str">
        <f>IF(IFERROR(INDEX('SOP register'!$A:$A,MATCH(CONCATENATE('SOP template'!$B$1,".",A16),'SOP register'!$G:$G,0)),"")=1,MAX(B$1:B15)+1,"")</f>
        <v/>
      </c>
      <c r="C16" s="85" t="str">
        <f t="shared" si="4"/>
        <v/>
      </c>
      <c r="D16" s="85" t="str">
        <f t="shared" si="6"/>
        <v/>
      </c>
      <c r="E16" s="4"/>
      <c r="G16" s="85">
        <f t="shared" si="2"/>
        <v>1</v>
      </c>
      <c r="H16" s="85" t="str">
        <f t="shared" si="1"/>
        <v>15.00</v>
      </c>
      <c r="I16" s="109"/>
      <c r="J16" s="91"/>
      <c r="K16" s="92" t="s">
        <v>128</v>
      </c>
      <c r="L16" s="111"/>
      <c r="M16" s="101"/>
      <c r="N16" s="101"/>
      <c r="O16" s="112"/>
      <c r="P16" s="102"/>
      <c r="Q16" s="5"/>
      <c r="R16" s="5">
        <f t="shared" si="5"/>
        <v>15</v>
      </c>
      <c r="S16" s="84" t="str">
        <f>'SOP register'!K256</f>
        <v>ALP.BSP.SOP.015</v>
      </c>
      <c r="T16" s="84" t="str">
        <f>'SOP register'!L256</f>
        <v>General Operation and Cleaning</v>
      </c>
      <c r="U16" s="5"/>
      <c r="V16" s="5"/>
    </row>
    <row r="17" spans="1:22" ht="36" customHeight="1" thickBot="1" x14ac:dyDescent="0.3">
      <c r="A17" s="85">
        <f t="shared" si="3"/>
        <v>16</v>
      </c>
      <c r="B17" s="85" t="str">
        <f>IF(IFERROR(INDEX('SOP register'!$A:$A,MATCH(CONCATENATE('SOP template'!$B$1,".",A17),'SOP register'!$G:$G,0)),"")=1,MAX(B$1:B16)+1,"")</f>
        <v/>
      </c>
      <c r="C17" s="85" t="str">
        <f t="shared" si="4"/>
        <v/>
      </c>
      <c r="D17" s="85" t="str">
        <f t="shared" si="6"/>
        <v/>
      </c>
      <c r="E17" s="4"/>
      <c r="G17" s="85">
        <f t="shared" si="2"/>
        <v>1</v>
      </c>
      <c r="H17" s="85" t="str">
        <f t="shared" si="1"/>
        <v>16.00</v>
      </c>
      <c r="I17" s="109"/>
      <c r="J17" s="91"/>
      <c r="K17" s="92" t="s">
        <v>129</v>
      </c>
      <c r="L17" s="111"/>
      <c r="M17" s="101"/>
      <c r="N17" s="101"/>
      <c r="O17" s="112"/>
      <c r="P17" s="102"/>
      <c r="Q17" s="5"/>
      <c r="R17" s="5">
        <f t="shared" si="5"/>
        <v>16</v>
      </c>
      <c r="S17" s="84" t="str">
        <f>'SOP register'!K274</f>
        <v>ALP.BSP.SOP.016</v>
      </c>
      <c r="T17" s="84" t="str">
        <f>'SOP register'!L274</f>
        <v>Preparation of Formalin</v>
      </c>
      <c r="U17" s="5"/>
      <c r="V17" s="5"/>
    </row>
    <row r="18" spans="1:22" ht="36" customHeight="1" thickBot="1" x14ac:dyDescent="0.3">
      <c r="A18" s="85">
        <f t="shared" si="3"/>
        <v>17</v>
      </c>
      <c r="B18" s="85">
        <f>IF(IFERROR(INDEX('SOP register'!$A:$A,MATCH(CONCATENATE('SOP template'!$B$1,".",A18),'SOP register'!$G:$G,0)),"")=1,MAX(B$1:B17)+1,"")</f>
        <v>5</v>
      </c>
      <c r="C18" s="85">
        <f t="shared" si="4"/>
        <v>17</v>
      </c>
      <c r="D18" s="85" t="str">
        <f t="shared" si="6"/>
        <v/>
      </c>
      <c r="E18" s="4"/>
      <c r="G18" s="85">
        <f t="shared" si="2"/>
        <v>1</v>
      </c>
      <c r="H18" s="85" t="str">
        <f t="shared" si="1"/>
        <v>17.00</v>
      </c>
      <c r="I18" s="109"/>
      <c r="J18" s="91"/>
      <c r="K18" s="92" t="s">
        <v>130</v>
      </c>
      <c r="L18" s="111"/>
      <c r="M18" s="101"/>
      <c r="N18" s="101"/>
      <c r="O18" s="112"/>
      <c r="P18" s="102"/>
      <c r="Q18" s="5"/>
      <c r="R18" s="5">
        <f t="shared" si="5"/>
        <v>17</v>
      </c>
      <c r="S18" s="84" t="str">
        <f>VLOOKUP($R18,'SOP register'!$J:$L,2)</f>
        <v>ALP.BSP.SOP.017</v>
      </c>
      <c r="T18" s="84" t="str">
        <f>VLOOKUP($R18,'SOP register'!$J:$L,3)</f>
        <v>Formalin fixing</v>
      </c>
      <c r="U18" s="5"/>
      <c r="V18" s="5"/>
    </row>
    <row r="19" spans="1:22" ht="36" customHeight="1" thickBot="1" x14ac:dyDescent="0.3">
      <c r="A19" s="85">
        <f t="shared" si="3"/>
        <v>18</v>
      </c>
      <c r="B19" s="85" t="str">
        <f>IF(IFERROR(INDEX('SOP register'!$A:$A,MATCH(CONCATENATE('SOP template'!$B$1,".",A19),'SOP register'!$G:$G,0)),"")=1,MAX(B$1:B18)+1,"")</f>
        <v/>
      </c>
      <c r="C19" s="85" t="str">
        <f t="shared" si="4"/>
        <v/>
      </c>
      <c r="D19" s="85" t="str">
        <f t="shared" si="6"/>
        <v/>
      </c>
      <c r="E19" s="4"/>
      <c r="G19" s="85">
        <f t="shared" si="2"/>
        <v>1</v>
      </c>
      <c r="H19" s="85" t="str">
        <f t="shared" si="1"/>
        <v>18.00</v>
      </c>
      <c r="I19" s="109"/>
      <c r="J19" s="91"/>
      <c r="K19" s="92" t="s">
        <v>131</v>
      </c>
      <c r="L19" s="111"/>
      <c r="M19" s="101"/>
      <c r="N19" s="101"/>
      <c r="O19" s="112"/>
      <c r="P19" s="102"/>
      <c r="Q19" s="5"/>
      <c r="R19" s="5">
        <f t="shared" si="5"/>
        <v>18</v>
      </c>
      <c r="S19" s="84" t="str">
        <f>VLOOKUP($R19,'SOP register'!$J:$L,2)</f>
        <v>ALP.BSP.SOP.018</v>
      </c>
      <c r="T19" s="84" t="str">
        <f>VLOOKUP($R19,'SOP register'!$J:$L,3)</f>
        <v>Specimen Preparation</v>
      </c>
      <c r="U19" s="5"/>
      <c r="V19" s="5"/>
    </row>
    <row r="20" spans="1:22" ht="36" customHeight="1" thickBot="1" x14ac:dyDescent="0.3">
      <c r="A20" s="85">
        <f t="shared" si="3"/>
        <v>19</v>
      </c>
      <c r="B20" s="85" t="str">
        <f>IF(IFERROR(INDEX('SOP register'!$A:$A,MATCH(CONCATENATE('SOP template'!$B$1,".",A20),'SOP register'!$G:$G,0)),"")=1,MAX(B$1:B19)+1,"")</f>
        <v/>
      </c>
      <c r="C20" s="85" t="str">
        <f t="shared" si="4"/>
        <v/>
      </c>
      <c r="D20" s="85" t="str">
        <f t="shared" si="6"/>
        <v/>
      </c>
      <c r="E20" s="4"/>
      <c r="G20" s="85">
        <f t="shared" si="2"/>
        <v>1</v>
      </c>
      <c r="H20" s="85" t="str">
        <f t="shared" si="1"/>
        <v>19.00</v>
      </c>
      <c r="I20" s="109"/>
      <c r="J20" s="91"/>
      <c r="K20" s="92" t="s">
        <v>132</v>
      </c>
      <c r="L20" s="111"/>
      <c r="M20" s="101"/>
      <c r="N20" s="101"/>
      <c r="O20" s="112"/>
      <c r="P20" s="102"/>
      <c r="Q20" s="5"/>
      <c r="R20" s="5">
        <f t="shared" si="5"/>
        <v>19</v>
      </c>
      <c r="S20" s="84" t="str">
        <f>VLOOKUP($R20,'SOP register'!$J:$L,2)</f>
        <v>ALP.BSP.SOP.019</v>
      </c>
      <c r="T20" s="84" t="str">
        <f>VLOOKUP($R20,'SOP register'!$J:$L,3)</f>
        <v>Decontamination</v>
      </c>
      <c r="U20" s="5"/>
      <c r="V20" s="5"/>
    </row>
    <row r="21" spans="1:22" ht="36" customHeight="1" thickBot="1" x14ac:dyDescent="0.3">
      <c r="A21" s="85">
        <f t="shared" si="3"/>
        <v>20</v>
      </c>
      <c r="B21" s="85">
        <f>IF(IFERROR(INDEX('SOP register'!$A:$A,MATCH(CONCATENATE('SOP template'!$B$1,".",A21),'SOP register'!$G:$G,0)),"")=1,MAX(B$1:B20)+1,"")</f>
        <v>6</v>
      </c>
      <c r="C21" s="85" t="str">
        <f t="shared" si="4"/>
        <v/>
      </c>
      <c r="D21" s="85">
        <f t="shared" si="6"/>
        <v>20</v>
      </c>
      <c r="E21" s="4"/>
      <c r="G21" s="85">
        <f t="shared" si="2"/>
        <v>1</v>
      </c>
      <c r="H21" s="85" t="str">
        <f t="shared" si="1"/>
        <v>20.00</v>
      </c>
      <c r="I21" s="109"/>
      <c r="J21" s="91"/>
      <c r="K21" s="92" t="s">
        <v>133</v>
      </c>
      <c r="L21" s="111"/>
      <c r="M21" s="101"/>
      <c r="N21" s="101"/>
      <c r="O21" s="112"/>
      <c r="P21" s="102"/>
      <c r="Q21" s="5"/>
      <c r="R21" s="5">
        <f t="shared" si="5"/>
        <v>20</v>
      </c>
      <c r="S21" s="84" t="str">
        <f>VLOOKUP($R21,'SOP register'!$J:$L,2)</f>
        <v>ALP.BSP.SOP.020</v>
      </c>
      <c r="T21" s="84" t="str">
        <f>VLOOKUP($R21,'SOP register'!$J:$L,3)</f>
        <v>Moving soiled laundry for collection</v>
      </c>
      <c r="U21" s="5"/>
      <c r="V21" s="5"/>
    </row>
    <row r="22" spans="1:22" ht="36" customHeight="1" thickBot="1" x14ac:dyDescent="0.3">
      <c r="A22" s="85">
        <f t="shared" si="3"/>
        <v>21</v>
      </c>
      <c r="B22" s="85" t="str">
        <f>IF(IFERROR(INDEX('SOP register'!$A:$A,MATCH(CONCATENATE('SOP template'!$B$1,".",A22),'SOP register'!$G:$G,0)),"")=1,MAX(B$1:B21)+1,"")</f>
        <v/>
      </c>
      <c r="C22" s="85" t="str">
        <f t="shared" si="4"/>
        <v/>
      </c>
      <c r="D22" s="85" t="str">
        <f t="shared" si="6"/>
        <v/>
      </c>
      <c r="E22" s="4"/>
      <c r="G22" s="85">
        <f t="shared" si="2"/>
        <v>1</v>
      </c>
      <c r="H22" s="85" t="str">
        <f t="shared" si="1"/>
        <v>21.00</v>
      </c>
      <c r="I22" s="109"/>
      <c r="J22" s="91"/>
      <c r="K22" s="92" t="s">
        <v>134</v>
      </c>
      <c r="L22" s="111"/>
      <c r="M22" s="101"/>
      <c r="N22" s="101"/>
      <c r="O22" s="112"/>
      <c r="P22" s="102"/>
      <c r="Q22" s="5"/>
      <c r="R22" s="5">
        <f t="shared" si="5"/>
        <v>21</v>
      </c>
      <c r="S22" s="84" t="str">
        <f>VLOOKUP($R22,'SOP register'!$J:$L,2)</f>
        <v>ALP.BSP.SOP.021</v>
      </c>
      <c r="T22" s="84" t="str">
        <f>VLOOKUP($R22,'SOP register'!$J:$L,3)</f>
        <v>Biological Spill Response within Kurilpa Museum</v>
      </c>
      <c r="U22" s="5"/>
      <c r="V22" s="5"/>
    </row>
    <row r="23" spans="1:22" ht="36" customHeight="1" thickBot="1" x14ac:dyDescent="0.3">
      <c r="A23" s="85">
        <f t="shared" si="3"/>
        <v>22</v>
      </c>
      <c r="B23" s="85" t="str">
        <f>IF(IFERROR(INDEX('SOP register'!$A:$A,MATCH(CONCATENATE('SOP template'!$B$1,".",A23),'SOP register'!$G:$G,0)),"")=1,MAX(B$1:B22)+1,"")</f>
        <v/>
      </c>
      <c r="C23" s="85" t="str">
        <f t="shared" si="4"/>
        <v/>
      </c>
      <c r="D23" s="85" t="str">
        <f t="shared" si="6"/>
        <v/>
      </c>
      <c r="E23" s="4"/>
      <c r="G23" s="85">
        <f t="shared" si="2"/>
        <v>1</v>
      </c>
      <c r="H23" s="85" t="str">
        <f t="shared" si="1"/>
        <v>22.00</v>
      </c>
      <c r="I23" s="109"/>
      <c r="J23" s="91"/>
      <c r="K23" s="92" t="s">
        <v>286</v>
      </c>
      <c r="L23" s="111"/>
      <c r="M23" s="101"/>
      <c r="N23" s="101"/>
      <c r="O23" s="112"/>
      <c r="P23" s="102"/>
      <c r="Q23" s="5"/>
      <c r="R23" s="5">
        <f t="shared" si="5"/>
        <v>22</v>
      </c>
      <c r="S23" s="84" t="str">
        <f>VLOOKUP($R23,'SOP register'!$J:$L,2)</f>
        <v>ALP.BSP.SOP.022</v>
      </c>
      <c r="T23" s="84" t="str">
        <f>VLOOKUP($R23,'SOP register'!$J:$L,3)</f>
        <v>Test Emergency Shower and Eyewash</v>
      </c>
      <c r="U23" s="5"/>
      <c r="V23" s="5"/>
    </row>
    <row r="24" spans="1:22" ht="36" customHeight="1" thickBot="1" x14ac:dyDescent="0.3">
      <c r="A24" s="85">
        <f t="shared" si="3"/>
        <v>23</v>
      </c>
      <c r="B24" s="85" t="str">
        <f>IF(IFERROR(INDEX('SOP register'!$A:$A,MATCH(CONCATENATE('SOP template'!$B$1,".",A24),'SOP register'!$G:$G,0)),"")=1,MAX(B$1:B23)+1,"")</f>
        <v/>
      </c>
      <c r="C24" s="85" t="str">
        <f t="shared" si="4"/>
        <v/>
      </c>
      <c r="D24" s="85" t="str">
        <f t="shared" si="6"/>
        <v/>
      </c>
      <c r="E24" s="4"/>
      <c r="G24" s="85">
        <f t="shared" si="2"/>
        <v>1</v>
      </c>
      <c r="H24" s="85" t="str">
        <f t="shared" si="1"/>
        <v>23.00</v>
      </c>
      <c r="I24" s="109"/>
      <c r="J24" s="91"/>
      <c r="K24" s="92" t="s">
        <v>136</v>
      </c>
      <c r="L24" s="111"/>
      <c r="M24" s="101"/>
      <c r="N24" s="101"/>
      <c r="O24" s="112"/>
      <c r="P24" s="102"/>
      <c r="Q24" s="5"/>
      <c r="R24" s="5">
        <f t="shared" si="5"/>
        <v>23</v>
      </c>
      <c r="S24" s="84" t="str">
        <f>VLOOKUP($R24,'SOP register'!$J:$L,2)</f>
        <v>ALP.BSP.SOP.023</v>
      </c>
      <c r="T24" s="84" t="str">
        <f>VLOOKUP($R24,'SOP register'!$J:$L,3)</f>
        <v>Biological Spill Response</v>
      </c>
      <c r="U24" s="5"/>
      <c r="V24" s="5"/>
    </row>
    <row r="25" spans="1:22" ht="36" customHeight="1" thickBot="1" x14ac:dyDescent="0.3">
      <c r="A25" s="85">
        <f t="shared" si="3"/>
        <v>24</v>
      </c>
      <c r="B25" s="85" t="str">
        <f>IF(IFERROR(INDEX('SOP register'!$A:$A,MATCH(CONCATENATE('SOP template'!$B$1,".",A25),'SOP register'!$G:$G,0)),"")=1,MAX(B$1:B24)+1,"")</f>
        <v/>
      </c>
      <c r="C25" s="85" t="str">
        <f t="shared" si="4"/>
        <v/>
      </c>
      <c r="D25" s="85" t="str">
        <f t="shared" si="6"/>
        <v/>
      </c>
      <c r="E25" s="4"/>
      <c r="G25" s="85">
        <f t="shared" si="2"/>
        <v>1</v>
      </c>
      <c r="H25" s="85" t="str">
        <f t="shared" si="1"/>
        <v>24.00</v>
      </c>
      <c r="I25" s="109"/>
      <c r="J25" s="91"/>
      <c r="K25" s="92" t="s">
        <v>137</v>
      </c>
      <c r="L25" s="111"/>
      <c r="M25" s="101"/>
      <c r="N25" s="101"/>
      <c r="O25" s="112"/>
      <c r="P25" s="102"/>
      <c r="Q25" s="5"/>
      <c r="R25" s="5">
        <f t="shared" si="5"/>
        <v>24</v>
      </c>
      <c r="S25" s="84" t="str">
        <f>VLOOKUP($R25,'SOP register'!$J:$L,2)</f>
        <v>..SOP.024</v>
      </c>
      <c r="T25" s="84">
        <f>VLOOKUP($R25,'SOP register'!$J:$L,3)</f>
        <v>0</v>
      </c>
      <c r="U25" s="5"/>
      <c r="V25" s="5"/>
    </row>
    <row r="26" spans="1:22" ht="36" customHeight="1" thickBot="1" x14ac:dyDescent="0.3">
      <c r="A26" s="85">
        <f t="shared" si="3"/>
        <v>25</v>
      </c>
      <c r="B26" s="85" t="str">
        <f>IF(IFERROR(INDEX('SOP register'!$A:$A,MATCH(CONCATENATE('SOP template'!$B$1,".",A26),'SOP register'!$G:$G,0)),"")=1,MAX(B$1:B25)+1,"")</f>
        <v/>
      </c>
      <c r="C26" s="85" t="str">
        <f t="shared" si="4"/>
        <v/>
      </c>
      <c r="D26" s="85" t="str">
        <f t="shared" si="6"/>
        <v/>
      </c>
      <c r="E26" s="4"/>
      <c r="G26" s="85">
        <f t="shared" si="2"/>
        <v>1</v>
      </c>
      <c r="H26" s="85" t="str">
        <f t="shared" si="1"/>
        <v>25.00</v>
      </c>
      <c r="I26" s="109"/>
      <c r="J26" s="91"/>
      <c r="K26" s="92" t="s">
        <v>138</v>
      </c>
      <c r="L26" s="111"/>
      <c r="M26" s="101"/>
      <c r="N26" s="101"/>
      <c r="O26" s="112"/>
      <c r="P26" s="102"/>
      <c r="Q26" s="5"/>
      <c r="R26" s="5">
        <f t="shared" si="5"/>
        <v>25</v>
      </c>
      <c r="S26" s="84" t="str">
        <f>VLOOKUP($R26,'SOP register'!$J:$L,2)</f>
        <v>..SOP.025</v>
      </c>
      <c r="T26" s="84">
        <f>VLOOKUP($R26,'SOP register'!$J:$L,3)</f>
        <v>0</v>
      </c>
      <c r="U26" s="5"/>
      <c r="V26" s="5"/>
    </row>
    <row r="27" spans="1:22" ht="36" customHeight="1" thickBot="1" x14ac:dyDescent="0.3">
      <c r="A27" s="85">
        <f t="shared" si="3"/>
        <v>26</v>
      </c>
      <c r="B27" s="85" t="str">
        <f>IF(IFERROR(INDEX('SOP register'!$A:$A,MATCH(CONCATENATE('SOP template'!$B$1,".",A27),'SOP register'!$G:$G,0)),"")=1,MAX(B$1:B26)+1,"")</f>
        <v/>
      </c>
      <c r="C27" s="85" t="str">
        <f t="shared" si="4"/>
        <v/>
      </c>
      <c r="D27" s="85" t="str">
        <f t="shared" si="6"/>
        <v/>
      </c>
      <c r="E27" s="4"/>
      <c r="G27" s="85">
        <f t="shared" si="2"/>
        <v>1</v>
      </c>
      <c r="H27" s="85" t="str">
        <f t="shared" si="1"/>
        <v>26.00</v>
      </c>
      <c r="I27" s="109"/>
      <c r="J27" s="91"/>
      <c r="K27" s="92" t="s">
        <v>139</v>
      </c>
      <c r="L27" s="111"/>
      <c r="M27" s="101"/>
      <c r="N27" s="101"/>
      <c r="O27" s="112"/>
      <c r="P27" s="102"/>
      <c r="Q27" s="5"/>
      <c r="R27" s="5">
        <f t="shared" si="5"/>
        <v>26</v>
      </c>
      <c r="S27" s="84" t="str">
        <f>VLOOKUP($R27,'SOP register'!$J:$L,2)</f>
        <v>..SOP.026</v>
      </c>
      <c r="T27" s="84">
        <f>VLOOKUP($R27,'SOP register'!$J:$L,3)</f>
        <v>0</v>
      </c>
      <c r="U27" s="5"/>
      <c r="V27" s="5"/>
    </row>
    <row r="28" spans="1:22" ht="36" customHeight="1" thickBot="1" x14ac:dyDescent="0.3">
      <c r="E28" s="4"/>
      <c r="G28" s="85">
        <f t="shared" si="2"/>
        <v>1</v>
      </c>
      <c r="H28" s="85" t="str">
        <f t="shared" ref="H28:H91" si="7">TEXT(INDEX($A$2:$A$27,MATCH(K28,$K$2:$K$27,0)),"00")&amp;"."&amp;TEXT(INDEX($A$2:$A$27,MATCH(N28,$K$2:$K$27,0)),"00")</f>
        <v>01.02</v>
      </c>
      <c r="I28" s="100"/>
      <c r="J28" s="91"/>
      <c r="K28" s="92" t="s">
        <v>117</v>
      </c>
      <c r="L28" s="92"/>
      <c r="M28" s="91"/>
      <c r="N28" s="92" t="s">
        <v>94</v>
      </c>
      <c r="O28" s="99"/>
      <c r="P28" s="93"/>
      <c r="Q28" s="5"/>
      <c r="R28" s="5">
        <f t="shared" si="5"/>
        <v>27</v>
      </c>
      <c r="S28" s="84" t="str">
        <f>VLOOKUP($R28,'SOP register'!$J:$L,2)</f>
        <v>..SOP.027</v>
      </c>
      <c r="T28" s="84">
        <f>VLOOKUP($R28,'SOP register'!$J:$L,3)</f>
        <v>0</v>
      </c>
      <c r="U28" s="5"/>
      <c r="V28" s="5"/>
    </row>
    <row r="29" spans="1:22" ht="36" customHeight="1" thickBot="1" x14ac:dyDescent="0.3">
      <c r="E29" s="4"/>
      <c r="G29" s="85">
        <f t="shared" si="2"/>
        <v>1</v>
      </c>
      <c r="H29" s="85" t="str">
        <f t="shared" si="7"/>
        <v>01.03</v>
      </c>
      <c r="I29" s="100"/>
      <c r="J29" s="91"/>
      <c r="K29" s="92" t="s">
        <v>117</v>
      </c>
      <c r="L29" s="92"/>
      <c r="M29" s="91"/>
      <c r="N29" s="92" t="s">
        <v>118</v>
      </c>
      <c r="O29" s="99"/>
      <c r="P29" s="93"/>
      <c r="Q29" s="5"/>
      <c r="R29" s="5">
        <f t="shared" si="5"/>
        <v>28</v>
      </c>
      <c r="S29" s="84" t="str">
        <f>VLOOKUP($R29,'SOP register'!$J:$L,2)</f>
        <v>..SOP.028</v>
      </c>
      <c r="T29" s="84">
        <f>VLOOKUP($R29,'SOP register'!$J:$L,3)</f>
        <v>0</v>
      </c>
      <c r="U29" s="5"/>
      <c r="V29" s="5"/>
    </row>
    <row r="30" spans="1:22" ht="36" customHeight="1" thickBot="1" x14ac:dyDescent="0.3">
      <c r="E30" s="4"/>
      <c r="G30" s="85">
        <f t="shared" si="2"/>
        <v>1</v>
      </c>
      <c r="H30" s="85" t="str">
        <f t="shared" si="7"/>
        <v>01.04</v>
      </c>
      <c r="I30" s="100"/>
      <c r="J30" s="91"/>
      <c r="K30" s="92" t="s">
        <v>117</v>
      </c>
      <c r="L30" s="92"/>
      <c r="M30" s="91"/>
      <c r="N30" s="92" t="s">
        <v>119</v>
      </c>
      <c r="O30" s="99"/>
      <c r="P30" s="93"/>
      <c r="Q30" s="5"/>
      <c r="R30" s="5">
        <f t="shared" si="5"/>
        <v>29</v>
      </c>
      <c r="S30" s="84" t="str">
        <f>VLOOKUP($R30,'SOP register'!$J:$L,2)</f>
        <v>..SOP.029</v>
      </c>
      <c r="T30" s="84">
        <f>VLOOKUP($R30,'SOP register'!$J:$L,3)</f>
        <v>0</v>
      </c>
      <c r="U30" s="5"/>
      <c r="V30" s="5"/>
    </row>
    <row r="31" spans="1:22" ht="36" customHeight="1" thickBot="1" x14ac:dyDescent="0.3">
      <c r="E31" s="4"/>
      <c r="G31" s="85">
        <f t="shared" si="2"/>
        <v>1</v>
      </c>
      <c r="H31" s="85" t="str">
        <f t="shared" si="7"/>
        <v>01.05</v>
      </c>
      <c r="I31" s="100"/>
      <c r="J31" s="91"/>
      <c r="K31" s="92" t="s">
        <v>117</v>
      </c>
      <c r="L31" s="92"/>
      <c r="M31" s="91"/>
      <c r="N31" s="92" t="s">
        <v>120</v>
      </c>
      <c r="O31" s="99"/>
      <c r="P31" s="93"/>
      <c r="Q31" s="5"/>
      <c r="R31" s="5">
        <f t="shared" si="5"/>
        <v>30</v>
      </c>
      <c r="S31" s="84" t="str">
        <f>VLOOKUP($R31,'SOP register'!$J:$L,2)</f>
        <v>..SOP.030</v>
      </c>
      <c r="T31" s="84">
        <f>VLOOKUP($R31,'SOP register'!$J:$L,3)</f>
        <v>0</v>
      </c>
      <c r="U31" s="5"/>
      <c r="V31" s="5"/>
    </row>
    <row r="32" spans="1:22" ht="36" customHeight="1" thickBot="1" x14ac:dyDescent="0.3">
      <c r="E32" s="4"/>
      <c r="G32" s="85">
        <f t="shared" si="2"/>
        <v>1</v>
      </c>
      <c r="H32" s="85" t="str">
        <f t="shared" si="7"/>
        <v>01.06</v>
      </c>
      <c r="I32" s="100"/>
      <c r="J32" s="91"/>
      <c r="K32" s="92" t="s">
        <v>117</v>
      </c>
      <c r="L32" s="92"/>
      <c r="M32" s="91"/>
      <c r="N32" s="92" t="s">
        <v>121</v>
      </c>
      <c r="O32" s="99"/>
      <c r="P32" s="93"/>
      <c r="Q32" s="5"/>
      <c r="R32" s="5">
        <f t="shared" si="5"/>
        <v>31</v>
      </c>
      <c r="S32" s="84"/>
      <c r="U32" s="5"/>
      <c r="V32" s="5"/>
    </row>
    <row r="33" spans="5:22" ht="36" customHeight="1" thickBot="1" x14ac:dyDescent="0.3">
      <c r="E33" s="4"/>
      <c r="G33" s="85">
        <f t="shared" si="2"/>
        <v>1</v>
      </c>
      <c r="H33" s="85" t="str">
        <f t="shared" si="7"/>
        <v>01.07</v>
      </c>
      <c r="I33" s="100"/>
      <c r="J33" s="91"/>
      <c r="K33" s="92" t="s">
        <v>117</v>
      </c>
      <c r="L33" s="92"/>
      <c r="M33" s="91"/>
      <c r="N33" s="92" t="s">
        <v>88</v>
      </c>
      <c r="O33" s="99"/>
      <c r="P33" s="93"/>
      <c r="Q33" s="5"/>
      <c r="R33" s="5">
        <f t="shared" si="5"/>
        <v>32</v>
      </c>
      <c r="S33" s="84"/>
      <c r="U33" s="5"/>
      <c r="V33" s="5"/>
    </row>
    <row r="34" spans="5:22" ht="36" customHeight="1" thickBot="1" x14ac:dyDescent="0.3">
      <c r="E34" s="4"/>
      <c r="G34" s="85">
        <f t="shared" si="2"/>
        <v>1</v>
      </c>
      <c r="H34" s="85" t="str">
        <f t="shared" si="7"/>
        <v>01.08</v>
      </c>
      <c r="I34" s="100"/>
      <c r="J34" s="91"/>
      <c r="K34" s="92" t="s">
        <v>117</v>
      </c>
      <c r="L34" s="92"/>
      <c r="M34" s="91"/>
      <c r="N34" s="92" t="s">
        <v>122</v>
      </c>
      <c r="O34" s="99"/>
      <c r="P34" s="93"/>
      <c r="Q34" s="5"/>
      <c r="R34" s="5"/>
      <c r="S34" s="84"/>
      <c r="U34" s="5"/>
      <c r="V34" s="5"/>
    </row>
    <row r="35" spans="5:22" ht="36" customHeight="1" thickBot="1" x14ac:dyDescent="0.3">
      <c r="E35" s="4"/>
      <c r="G35" s="85">
        <f t="shared" si="2"/>
        <v>1</v>
      </c>
      <c r="H35" s="85" t="str">
        <f t="shared" si="7"/>
        <v>01.09</v>
      </c>
      <c r="I35" s="100"/>
      <c r="J35" s="91"/>
      <c r="K35" s="92" t="s">
        <v>117</v>
      </c>
      <c r="L35" s="92"/>
      <c r="M35" s="91"/>
      <c r="N35" s="92" t="s">
        <v>123</v>
      </c>
      <c r="O35" s="99"/>
      <c r="P35" s="93"/>
      <c r="Q35" s="5"/>
      <c r="R35" s="5"/>
      <c r="S35" s="84"/>
      <c r="U35" s="5"/>
      <c r="V35" s="5"/>
    </row>
    <row r="36" spans="5:22" ht="36" customHeight="1" thickBot="1" x14ac:dyDescent="0.3">
      <c r="E36" s="4"/>
      <c r="G36" s="85">
        <f t="shared" si="2"/>
        <v>1</v>
      </c>
      <c r="H36" s="85" t="str">
        <f t="shared" si="7"/>
        <v>01.10</v>
      </c>
      <c r="I36" s="100"/>
      <c r="J36" s="91"/>
      <c r="K36" s="92" t="s">
        <v>117</v>
      </c>
      <c r="L36" s="92"/>
      <c r="M36" s="91"/>
      <c r="N36" s="92" t="s">
        <v>124</v>
      </c>
      <c r="O36" s="99"/>
      <c r="P36" s="93"/>
      <c r="Q36" s="5"/>
      <c r="R36" s="5"/>
      <c r="S36" s="84"/>
      <c r="U36" s="5"/>
      <c r="V36" s="5"/>
    </row>
    <row r="37" spans="5:22" ht="36" customHeight="1" thickBot="1" x14ac:dyDescent="0.3">
      <c r="E37" s="4"/>
      <c r="G37" s="85">
        <f t="shared" si="2"/>
        <v>1</v>
      </c>
      <c r="H37" s="85" t="str">
        <f t="shared" si="7"/>
        <v>01.11</v>
      </c>
      <c r="I37" s="100"/>
      <c r="J37" s="91"/>
      <c r="K37" s="92" t="s">
        <v>117</v>
      </c>
      <c r="L37" s="92"/>
      <c r="M37" s="91"/>
      <c r="N37" s="92" t="s">
        <v>95</v>
      </c>
      <c r="O37" s="99"/>
      <c r="P37" s="93"/>
      <c r="Q37" s="5"/>
      <c r="R37" s="5"/>
      <c r="S37" s="84"/>
      <c r="U37" s="5"/>
      <c r="V37" s="5"/>
    </row>
    <row r="38" spans="5:22" ht="36" customHeight="1" thickBot="1" x14ac:dyDescent="0.3">
      <c r="E38" s="4"/>
      <c r="G38" s="85">
        <f t="shared" si="2"/>
        <v>1</v>
      </c>
      <c r="H38" s="85" t="str">
        <f t="shared" si="7"/>
        <v>01.12</v>
      </c>
      <c r="I38" s="100"/>
      <c r="J38" s="91"/>
      <c r="K38" s="92" t="s">
        <v>117</v>
      </c>
      <c r="L38" s="92"/>
      <c r="M38" s="91"/>
      <c r="N38" s="92" t="s">
        <v>125</v>
      </c>
      <c r="O38" s="99"/>
      <c r="P38" s="93"/>
      <c r="Q38" s="5"/>
      <c r="R38" s="5"/>
      <c r="S38" s="84"/>
      <c r="U38" s="5"/>
      <c r="V38" s="5"/>
    </row>
    <row r="39" spans="5:22" ht="36" customHeight="1" thickBot="1" x14ac:dyDescent="0.3">
      <c r="E39" s="4"/>
      <c r="G39" s="85">
        <f t="shared" si="2"/>
        <v>1</v>
      </c>
      <c r="H39" s="85" t="str">
        <f t="shared" si="7"/>
        <v>01.13</v>
      </c>
      <c r="I39" s="100"/>
      <c r="J39" s="91"/>
      <c r="K39" s="92" t="s">
        <v>117</v>
      </c>
      <c r="L39" s="92"/>
      <c r="M39" s="91"/>
      <c r="N39" s="92" t="s">
        <v>126</v>
      </c>
      <c r="O39" s="99"/>
      <c r="P39" s="93"/>
      <c r="Q39" s="5"/>
      <c r="R39" s="5"/>
      <c r="S39" s="84"/>
      <c r="U39" s="5"/>
      <c r="V39" s="5"/>
    </row>
    <row r="40" spans="5:22" ht="36" customHeight="1" thickBot="1" x14ac:dyDescent="0.3">
      <c r="E40" s="4"/>
      <c r="G40" s="85">
        <f t="shared" si="2"/>
        <v>1</v>
      </c>
      <c r="H40" s="85" t="str">
        <f t="shared" si="7"/>
        <v>01.14</v>
      </c>
      <c r="I40" s="100"/>
      <c r="J40" s="91"/>
      <c r="K40" s="92" t="s">
        <v>117</v>
      </c>
      <c r="L40" s="92"/>
      <c r="M40" s="91"/>
      <c r="N40" s="92" t="s">
        <v>127</v>
      </c>
      <c r="O40" s="99"/>
      <c r="P40" s="93"/>
      <c r="Q40" s="5"/>
      <c r="R40" s="5"/>
      <c r="S40" s="84"/>
      <c r="U40" s="5"/>
      <c r="V40" s="5"/>
    </row>
    <row r="41" spans="5:22" ht="36" customHeight="1" thickBot="1" x14ac:dyDescent="0.3">
      <c r="E41" s="4"/>
      <c r="G41" s="85">
        <f t="shared" si="2"/>
        <v>1</v>
      </c>
      <c r="H41" s="85" t="str">
        <f t="shared" si="7"/>
        <v>01.15</v>
      </c>
      <c r="I41" s="100"/>
      <c r="J41" s="91"/>
      <c r="K41" s="92" t="s">
        <v>117</v>
      </c>
      <c r="L41" s="92"/>
      <c r="M41" s="91"/>
      <c r="N41" s="92" t="s">
        <v>128</v>
      </c>
      <c r="O41" s="99"/>
      <c r="P41" s="93"/>
      <c r="Q41" s="5"/>
      <c r="R41" s="5"/>
      <c r="S41" s="84"/>
      <c r="U41" s="5"/>
      <c r="V41" s="5"/>
    </row>
    <row r="42" spans="5:22" ht="36" customHeight="1" thickBot="1" x14ac:dyDescent="0.3">
      <c r="E42" s="4"/>
      <c r="G42" s="85">
        <f t="shared" si="2"/>
        <v>1</v>
      </c>
      <c r="H42" s="85" t="str">
        <f t="shared" si="7"/>
        <v>01.16</v>
      </c>
      <c r="I42" s="100"/>
      <c r="J42" s="91"/>
      <c r="K42" s="92" t="s">
        <v>117</v>
      </c>
      <c r="L42" s="92"/>
      <c r="M42" s="91"/>
      <c r="N42" s="92" t="s">
        <v>129</v>
      </c>
      <c r="O42" s="99"/>
      <c r="P42" s="93"/>
      <c r="Q42" s="5"/>
      <c r="R42" s="5"/>
      <c r="S42" s="84"/>
      <c r="U42" s="5"/>
      <c r="V42" s="5"/>
    </row>
    <row r="43" spans="5:22" ht="36" customHeight="1" thickBot="1" x14ac:dyDescent="0.3">
      <c r="E43" s="4"/>
      <c r="G43" s="85">
        <f t="shared" si="2"/>
        <v>1</v>
      </c>
      <c r="H43" s="85" t="str">
        <f t="shared" si="7"/>
        <v>01.17</v>
      </c>
      <c r="I43" s="100"/>
      <c r="J43" s="91"/>
      <c r="K43" s="92" t="s">
        <v>117</v>
      </c>
      <c r="L43" s="92"/>
      <c r="M43" s="91"/>
      <c r="N43" s="92" t="s">
        <v>130</v>
      </c>
      <c r="O43" s="99"/>
      <c r="P43" s="93"/>
      <c r="Q43" s="5"/>
      <c r="R43" s="5"/>
      <c r="S43" s="84"/>
      <c r="U43" s="5"/>
      <c r="V43" s="5"/>
    </row>
    <row r="44" spans="5:22" ht="36" customHeight="1" thickBot="1" x14ac:dyDescent="0.3">
      <c r="E44" s="4"/>
      <c r="G44" s="85">
        <f t="shared" si="2"/>
        <v>1</v>
      </c>
      <c r="H44" s="85" t="str">
        <f t="shared" si="7"/>
        <v>01.18</v>
      </c>
      <c r="I44" s="100"/>
      <c r="J44" s="91"/>
      <c r="K44" s="92" t="s">
        <v>117</v>
      </c>
      <c r="L44" s="92"/>
      <c r="M44" s="91"/>
      <c r="N44" s="92" t="s">
        <v>131</v>
      </c>
      <c r="O44" s="99"/>
      <c r="P44" s="93"/>
      <c r="Q44" s="5"/>
      <c r="R44" s="5"/>
      <c r="S44" s="84"/>
      <c r="U44" s="5"/>
      <c r="V44" s="5"/>
    </row>
    <row r="45" spans="5:22" ht="36" customHeight="1" thickBot="1" x14ac:dyDescent="0.3">
      <c r="E45" s="4"/>
      <c r="G45" s="85">
        <f t="shared" si="2"/>
        <v>1</v>
      </c>
      <c r="H45" s="85" t="str">
        <f t="shared" si="7"/>
        <v>01.19</v>
      </c>
      <c r="I45" s="100"/>
      <c r="J45" s="91"/>
      <c r="K45" s="92" t="s">
        <v>117</v>
      </c>
      <c r="L45" s="92"/>
      <c r="M45" s="91"/>
      <c r="N45" s="92" t="s">
        <v>132</v>
      </c>
      <c r="O45" s="99"/>
      <c r="P45" s="93"/>
      <c r="Q45" s="5"/>
      <c r="R45" s="5"/>
      <c r="S45" s="84"/>
      <c r="U45" s="5"/>
      <c r="V45" s="5"/>
    </row>
    <row r="46" spans="5:22" ht="36" customHeight="1" thickBot="1" x14ac:dyDescent="0.3">
      <c r="E46" s="4"/>
      <c r="G46" s="85">
        <f t="shared" si="2"/>
        <v>1</v>
      </c>
      <c r="H46" s="85" t="str">
        <f t="shared" si="7"/>
        <v>01.20</v>
      </c>
      <c r="I46" s="100"/>
      <c r="J46" s="91"/>
      <c r="K46" s="92" t="s">
        <v>117</v>
      </c>
      <c r="L46" s="92"/>
      <c r="M46" s="91"/>
      <c r="N46" s="92" t="s">
        <v>133</v>
      </c>
      <c r="O46" s="99"/>
      <c r="P46" s="93"/>
      <c r="Q46" s="5"/>
      <c r="R46" s="5"/>
      <c r="S46" s="84"/>
      <c r="U46" s="5"/>
      <c r="V46" s="5"/>
    </row>
    <row r="47" spans="5:22" ht="36" customHeight="1" thickBot="1" x14ac:dyDescent="0.3">
      <c r="E47" s="4"/>
      <c r="G47" s="85">
        <f t="shared" si="2"/>
        <v>1</v>
      </c>
      <c r="H47" s="85" t="str">
        <f t="shared" si="7"/>
        <v>01.21</v>
      </c>
      <c r="I47" s="100"/>
      <c r="J47" s="91"/>
      <c r="K47" s="92" t="s">
        <v>117</v>
      </c>
      <c r="L47" s="92"/>
      <c r="M47" s="91"/>
      <c r="N47" s="92" t="s">
        <v>134</v>
      </c>
      <c r="O47" s="99"/>
      <c r="P47" s="93"/>
      <c r="Q47" s="5"/>
      <c r="R47" s="5"/>
      <c r="S47" s="84"/>
      <c r="U47" s="5"/>
      <c r="V47" s="5"/>
    </row>
    <row r="48" spans="5:22" ht="36" customHeight="1" thickBot="1" x14ac:dyDescent="0.3">
      <c r="E48" s="4"/>
      <c r="G48" s="85">
        <f t="shared" si="2"/>
        <v>1</v>
      </c>
      <c r="H48" s="85" t="str">
        <f t="shared" si="7"/>
        <v>01.22</v>
      </c>
      <c r="I48" s="100"/>
      <c r="J48" s="91"/>
      <c r="K48" s="92" t="s">
        <v>117</v>
      </c>
      <c r="L48" s="92"/>
      <c r="M48" s="91"/>
      <c r="N48" s="92" t="s">
        <v>286</v>
      </c>
      <c r="O48" s="99"/>
      <c r="P48" s="93"/>
      <c r="Q48" s="5"/>
      <c r="R48" s="5"/>
      <c r="S48" s="84"/>
      <c r="U48" s="5"/>
      <c r="V48" s="5"/>
    </row>
    <row r="49" spans="5:22" ht="36" customHeight="1" thickBot="1" x14ac:dyDescent="0.3">
      <c r="E49" s="4"/>
      <c r="G49" s="85">
        <f t="shared" si="2"/>
        <v>1</v>
      </c>
      <c r="H49" s="85" t="str">
        <f t="shared" si="7"/>
        <v>01.23</v>
      </c>
      <c r="I49" s="100"/>
      <c r="J49" s="91"/>
      <c r="K49" s="92" t="s">
        <v>117</v>
      </c>
      <c r="L49" s="92"/>
      <c r="M49" s="91"/>
      <c r="N49" s="92" t="s">
        <v>136</v>
      </c>
      <c r="O49" s="99"/>
      <c r="P49" s="93"/>
      <c r="Q49" s="5"/>
      <c r="R49" s="5"/>
      <c r="S49" s="84"/>
      <c r="U49" s="5"/>
      <c r="V49" s="5"/>
    </row>
    <row r="50" spans="5:22" ht="36" customHeight="1" thickBot="1" x14ac:dyDescent="0.3">
      <c r="E50" s="4"/>
      <c r="G50" s="85">
        <f t="shared" si="2"/>
        <v>1</v>
      </c>
      <c r="H50" s="85" t="str">
        <f t="shared" si="7"/>
        <v>01.24</v>
      </c>
      <c r="I50" s="100"/>
      <c r="J50" s="91"/>
      <c r="K50" s="92" t="s">
        <v>117</v>
      </c>
      <c r="L50" s="92"/>
      <c r="M50" s="91"/>
      <c r="N50" s="92" t="s">
        <v>137</v>
      </c>
      <c r="O50" s="99"/>
      <c r="P50" s="93"/>
      <c r="Q50" s="5"/>
      <c r="R50" s="5"/>
      <c r="S50" s="84"/>
      <c r="U50" s="5"/>
      <c r="V50" s="5"/>
    </row>
    <row r="51" spans="5:22" ht="36" customHeight="1" thickBot="1" x14ac:dyDescent="0.3">
      <c r="E51" s="4"/>
      <c r="G51" s="85">
        <f t="shared" si="2"/>
        <v>1</v>
      </c>
      <c r="H51" s="85" t="str">
        <f t="shared" si="7"/>
        <v>01.25</v>
      </c>
      <c r="I51" s="100"/>
      <c r="J51" s="91"/>
      <c r="K51" s="92" t="s">
        <v>117</v>
      </c>
      <c r="L51" s="92"/>
      <c r="M51" s="91"/>
      <c r="N51" s="92" t="s">
        <v>138</v>
      </c>
      <c r="O51" s="99"/>
      <c r="P51" s="93"/>
      <c r="Q51" s="5"/>
      <c r="R51" s="5"/>
      <c r="S51" s="84"/>
      <c r="U51" s="5"/>
      <c r="V51" s="5"/>
    </row>
    <row r="52" spans="5:22" ht="36" customHeight="1" thickBot="1" x14ac:dyDescent="0.3">
      <c r="E52" s="4"/>
      <c r="G52" s="85">
        <f t="shared" si="2"/>
        <v>1</v>
      </c>
      <c r="H52" s="85" t="str">
        <f t="shared" si="7"/>
        <v>01.26</v>
      </c>
      <c r="I52" s="100"/>
      <c r="J52" s="91"/>
      <c r="K52" s="92" t="s">
        <v>117</v>
      </c>
      <c r="L52" s="92"/>
      <c r="M52" s="91"/>
      <c r="N52" s="92" t="s">
        <v>139</v>
      </c>
      <c r="O52" s="99"/>
      <c r="P52" s="93"/>
      <c r="Q52" s="5"/>
      <c r="R52" s="5"/>
      <c r="S52" s="84"/>
      <c r="U52" s="5"/>
      <c r="V52" s="5"/>
    </row>
    <row r="53" spans="5:22" ht="36" customHeight="1" thickBot="1" x14ac:dyDescent="0.3">
      <c r="E53" s="4"/>
      <c r="G53" s="85">
        <f t="shared" si="2"/>
        <v>1</v>
      </c>
      <c r="H53" s="85" t="str">
        <f t="shared" si="7"/>
        <v>02.06</v>
      </c>
      <c r="I53" s="100"/>
      <c r="J53" s="91"/>
      <c r="K53" s="92" t="s">
        <v>94</v>
      </c>
      <c r="L53" s="92"/>
      <c r="M53" s="91"/>
      <c r="N53" s="92" t="s">
        <v>121</v>
      </c>
      <c r="O53" s="99"/>
      <c r="P53" s="93"/>
      <c r="Q53" s="5"/>
      <c r="R53" s="5"/>
      <c r="S53" s="84"/>
      <c r="U53" s="5"/>
      <c r="V53" s="5"/>
    </row>
    <row r="54" spans="5:22" ht="36" customHeight="1" thickBot="1" x14ac:dyDescent="0.3">
      <c r="E54" s="4"/>
      <c r="G54" s="85" t="str">
        <f t="shared" si="2"/>
        <v/>
      </c>
      <c r="H54" s="85" t="str">
        <f t="shared" si="7"/>
        <v>02.07</v>
      </c>
      <c r="I54" s="100"/>
      <c r="J54" s="91"/>
      <c r="K54" s="92" t="s">
        <v>94</v>
      </c>
      <c r="L54" s="92"/>
      <c r="M54" s="91"/>
      <c r="N54" s="92" t="s">
        <v>88</v>
      </c>
      <c r="O54" s="99"/>
      <c r="P54" s="93"/>
      <c r="Q54" s="5"/>
      <c r="R54" s="5"/>
      <c r="S54" s="84"/>
      <c r="U54" s="5"/>
      <c r="V54" s="5"/>
    </row>
    <row r="55" spans="5:22" ht="36" customHeight="1" thickBot="1" x14ac:dyDescent="0.3">
      <c r="E55" s="4"/>
      <c r="G55" s="85">
        <f t="shared" si="2"/>
        <v>1</v>
      </c>
      <c r="H55" s="85" t="str">
        <f t="shared" si="7"/>
        <v>02.08</v>
      </c>
      <c r="I55" s="100"/>
      <c r="J55" s="91"/>
      <c r="K55" s="92" t="s">
        <v>94</v>
      </c>
      <c r="L55" s="92"/>
      <c r="M55" s="91"/>
      <c r="N55" s="92" t="s">
        <v>122</v>
      </c>
      <c r="O55" s="99"/>
      <c r="P55" s="93"/>
      <c r="Q55" s="5"/>
      <c r="R55" s="5"/>
      <c r="S55" s="84"/>
      <c r="U55" s="5"/>
      <c r="V55" s="5"/>
    </row>
    <row r="56" spans="5:22" ht="36" customHeight="1" thickBot="1" x14ac:dyDescent="0.3">
      <c r="E56" s="4"/>
      <c r="G56" s="85">
        <f t="shared" si="2"/>
        <v>1</v>
      </c>
      <c r="H56" s="85" t="str">
        <f t="shared" si="7"/>
        <v>02.09</v>
      </c>
      <c r="I56" s="100"/>
      <c r="J56" s="91"/>
      <c r="K56" s="92" t="s">
        <v>94</v>
      </c>
      <c r="L56" s="92"/>
      <c r="M56" s="91"/>
      <c r="N56" s="92" t="s">
        <v>123</v>
      </c>
      <c r="O56" s="99"/>
      <c r="P56" s="93"/>
      <c r="Q56" s="5"/>
      <c r="R56" s="5"/>
      <c r="S56" s="84"/>
      <c r="U56" s="5"/>
      <c r="V56" s="5"/>
    </row>
    <row r="57" spans="5:22" ht="36" customHeight="1" thickBot="1" x14ac:dyDescent="0.3">
      <c r="E57" s="4"/>
      <c r="G57" s="85">
        <f t="shared" si="2"/>
        <v>1</v>
      </c>
      <c r="H57" s="85" t="str">
        <f t="shared" si="7"/>
        <v>02.10</v>
      </c>
      <c r="I57" s="100"/>
      <c r="J57" s="91"/>
      <c r="K57" s="92" t="s">
        <v>94</v>
      </c>
      <c r="L57" s="92"/>
      <c r="M57" s="91"/>
      <c r="N57" s="92" t="s">
        <v>124</v>
      </c>
      <c r="O57" s="99"/>
      <c r="P57" s="93"/>
      <c r="Q57" s="5"/>
      <c r="R57" s="5"/>
      <c r="S57" s="84"/>
      <c r="U57" s="5"/>
      <c r="V57" s="5"/>
    </row>
    <row r="58" spans="5:22" ht="36" customHeight="1" thickBot="1" x14ac:dyDescent="0.3">
      <c r="E58" s="4"/>
      <c r="G58" s="85">
        <f t="shared" si="2"/>
        <v>1</v>
      </c>
      <c r="H58" s="85" t="str">
        <f t="shared" si="7"/>
        <v>02.11</v>
      </c>
      <c r="I58" s="100"/>
      <c r="J58" s="91"/>
      <c r="K58" s="92" t="s">
        <v>94</v>
      </c>
      <c r="L58" s="92"/>
      <c r="M58" s="91"/>
      <c r="N58" s="92" t="s">
        <v>95</v>
      </c>
      <c r="O58" s="99"/>
      <c r="P58" s="93"/>
      <c r="Q58" s="5"/>
      <c r="R58" s="5"/>
      <c r="S58" s="84"/>
      <c r="U58" s="5"/>
      <c r="V58" s="5"/>
    </row>
    <row r="59" spans="5:22" ht="36" customHeight="1" thickBot="1" x14ac:dyDescent="0.3">
      <c r="E59" s="4"/>
      <c r="G59" s="85">
        <f t="shared" si="2"/>
        <v>1</v>
      </c>
      <c r="H59" s="85" t="str">
        <f t="shared" si="7"/>
        <v>02.12</v>
      </c>
      <c r="I59" s="100"/>
      <c r="J59" s="91"/>
      <c r="K59" s="92" t="s">
        <v>94</v>
      </c>
      <c r="L59" s="92"/>
      <c r="M59" s="91"/>
      <c r="N59" s="92" t="s">
        <v>125</v>
      </c>
      <c r="O59" s="99"/>
      <c r="P59" s="93"/>
      <c r="Q59" s="5"/>
      <c r="R59" s="5"/>
      <c r="S59" s="84"/>
      <c r="U59" s="5"/>
      <c r="V59" s="5"/>
    </row>
    <row r="60" spans="5:22" ht="36" customHeight="1" thickBot="1" x14ac:dyDescent="0.3">
      <c r="E60" s="4"/>
      <c r="G60" s="85">
        <f t="shared" si="2"/>
        <v>1</v>
      </c>
      <c r="H60" s="85" t="str">
        <f t="shared" si="7"/>
        <v>02.13</v>
      </c>
      <c r="I60" s="100"/>
      <c r="J60" s="91"/>
      <c r="K60" s="92" t="s">
        <v>94</v>
      </c>
      <c r="L60" s="92"/>
      <c r="M60" s="91"/>
      <c r="N60" s="92" t="s">
        <v>126</v>
      </c>
      <c r="O60" s="99"/>
      <c r="P60" s="93"/>
      <c r="Q60" s="5"/>
      <c r="R60" s="5"/>
      <c r="S60" s="84"/>
      <c r="U60" s="5"/>
      <c r="V60" s="5"/>
    </row>
    <row r="61" spans="5:22" ht="36" customHeight="1" thickBot="1" x14ac:dyDescent="0.3">
      <c r="E61" s="4"/>
      <c r="G61" s="85">
        <f t="shared" si="2"/>
        <v>1</v>
      </c>
      <c r="H61" s="85" t="str">
        <f t="shared" si="7"/>
        <v>02.14</v>
      </c>
      <c r="I61" s="100"/>
      <c r="J61" s="91"/>
      <c r="K61" s="92" t="s">
        <v>94</v>
      </c>
      <c r="L61" s="92"/>
      <c r="M61" s="91"/>
      <c r="N61" s="92" t="s">
        <v>127</v>
      </c>
      <c r="O61" s="99"/>
      <c r="P61" s="93"/>
      <c r="Q61" s="5"/>
      <c r="R61" s="5"/>
      <c r="S61" s="84"/>
      <c r="U61" s="5"/>
      <c r="V61" s="5"/>
    </row>
    <row r="62" spans="5:22" ht="36" customHeight="1" thickBot="1" x14ac:dyDescent="0.3">
      <c r="E62" s="4"/>
      <c r="G62" s="85">
        <f t="shared" si="2"/>
        <v>1</v>
      </c>
      <c r="H62" s="85" t="str">
        <f t="shared" si="7"/>
        <v>02.15</v>
      </c>
      <c r="I62" s="100"/>
      <c r="J62" s="91"/>
      <c r="K62" s="92" t="s">
        <v>94</v>
      </c>
      <c r="L62" s="92"/>
      <c r="M62" s="91"/>
      <c r="N62" s="92" t="s">
        <v>128</v>
      </c>
      <c r="O62" s="99"/>
      <c r="P62" s="93"/>
      <c r="Q62" s="5"/>
      <c r="R62" s="5"/>
      <c r="S62" s="84"/>
      <c r="U62" s="5"/>
      <c r="V62" s="5"/>
    </row>
    <row r="63" spans="5:22" ht="36" customHeight="1" thickBot="1" x14ac:dyDescent="0.3">
      <c r="E63" s="4"/>
      <c r="G63" s="85">
        <f t="shared" si="2"/>
        <v>1</v>
      </c>
      <c r="H63" s="85" t="str">
        <f t="shared" si="7"/>
        <v>02.16</v>
      </c>
      <c r="I63" s="100"/>
      <c r="J63" s="91"/>
      <c r="K63" s="92" t="s">
        <v>94</v>
      </c>
      <c r="L63" s="92"/>
      <c r="M63" s="91"/>
      <c r="N63" s="92" t="s">
        <v>129</v>
      </c>
      <c r="O63" s="99"/>
      <c r="P63" s="93"/>
      <c r="Q63" s="5"/>
      <c r="R63" s="5"/>
      <c r="S63" s="84"/>
      <c r="U63" s="5"/>
      <c r="V63" s="5"/>
    </row>
    <row r="64" spans="5:22" ht="36" customHeight="1" thickBot="1" x14ac:dyDescent="0.3">
      <c r="E64" s="4"/>
      <c r="G64" s="85">
        <f t="shared" si="2"/>
        <v>1</v>
      </c>
      <c r="H64" s="85" t="str">
        <f t="shared" si="7"/>
        <v>02.17</v>
      </c>
      <c r="I64" s="100"/>
      <c r="J64" s="91"/>
      <c r="K64" s="92" t="s">
        <v>94</v>
      </c>
      <c r="L64" s="92"/>
      <c r="M64" s="91"/>
      <c r="N64" s="92" t="s">
        <v>130</v>
      </c>
      <c r="O64" s="99"/>
      <c r="P64" s="93"/>
      <c r="Q64" s="5"/>
      <c r="R64" s="5"/>
      <c r="S64" s="84"/>
      <c r="U64" s="5"/>
      <c r="V64" s="5"/>
    </row>
    <row r="65" spans="5:22" ht="36" customHeight="1" thickBot="1" x14ac:dyDescent="0.3">
      <c r="E65" s="4"/>
      <c r="G65" s="85">
        <f t="shared" si="2"/>
        <v>1</v>
      </c>
      <c r="H65" s="85" t="str">
        <f t="shared" si="7"/>
        <v>02.18</v>
      </c>
      <c r="I65" s="100"/>
      <c r="J65" s="91"/>
      <c r="K65" s="92" t="s">
        <v>94</v>
      </c>
      <c r="L65" s="92"/>
      <c r="M65" s="91"/>
      <c r="N65" s="92" t="s">
        <v>131</v>
      </c>
      <c r="O65" s="99"/>
      <c r="P65" s="93"/>
      <c r="Q65" s="5"/>
      <c r="R65" s="5"/>
      <c r="S65" s="84"/>
      <c r="U65" s="5"/>
      <c r="V65" s="5"/>
    </row>
    <row r="66" spans="5:22" ht="36" customHeight="1" thickBot="1" x14ac:dyDescent="0.3">
      <c r="E66" s="4"/>
      <c r="G66" s="85">
        <f t="shared" si="2"/>
        <v>1</v>
      </c>
      <c r="H66" s="85" t="str">
        <f t="shared" si="7"/>
        <v>02.19</v>
      </c>
      <c r="I66" s="100"/>
      <c r="J66" s="91"/>
      <c r="K66" s="92" t="s">
        <v>94</v>
      </c>
      <c r="L66" s="92"/>
      <c r="M66" s="91"/>
      <c r="N66" s="92" t="s">
        <v>132</v>
      </c>
      <c r="O66" s="99"/>
      <c r="P66" s="93"/>
      <c r="Q66" s="5"/>
      <c r="R66" s="5"/>
      <c r="S66" s="84"/>
      <c r="U66" s="5"/>
      <c r="V66" s="5"/>
    </row>
    <row r="67" spans="5:22" ht="36" customHeight="1" thickBot="1" x14ac:dyDescent="0.3">
      <c r="E67" s="4"/>
      <c r="G67" s="85">
        <f t="shared" ref="G67:G130" si="8">IF(OR(
ISNUMBER(SEARCH($H67,$F$2)),ISNUMBER(SEARCH($H67,$F$3)),ISNUMBER(SEARCH($H67,$F$4)),ISNUMBER(SEARCH($H67,$F$5)),ISNUMBER(SEARCH($H67,$F$6)),ISNUMBER(SEARCH($H67,$F$7)),ISNUMBER(SEARCH($H67,$F$8))),"",1)</f>
        <v>1</v>
      </c>
      <c r="H67" s="85" t="str">
        <f t="shared" si="7"/>
        <v>02.20</v>
      </c>
      <c r="I67" s="100"/>
      <c r="J67" s="91"/>
      <c r="K67" s="92" t="s">
        <v>94</v>
      </c>
      <c r="L67" s="92"/>
      <c r="M67" s="91"/>
      <c r="N67" s="92" t="s">
        <v>133</v>
      </c>
      <c r="O67" s="99"/>
      <c r="P67" s="93"/>
      <c r="Q67" s="5"/>
      <c r="R67" s="5"/>
      <c r="S67" s="84"/>
      <c r="U67" s="5"/>
      <c r="V67" s="5"/>
    </row>
    <row r="68" spans="5:22" ht="36" customHeight="1" thickBot="1" x14ac:dyDescent="0.3">
      <c r="E68" s="4"/>
      <c r="G68" s="85">
        <f t="shared" si="8"/>
        <v>1</v>
      </c>
      <c r="H68" s="85" t="str">
        <f t="shared" si="7"/>
        <v>02.21</v>
      </c>
      <c r="I68" s="100"/>
      <c r="J68" s="91"/>
      <c r="K68" s="92" t="s">
        <v>94</v>
      </c>
      <c r="L68" s="92"/>
      <c r="M68" s="91"/>
      <c r="N68" s="92" t="s">
        <v>134</v>
      </c>
      <c r="O68" s="99"/>
      <c r="P68" s="93"/>
      <c r="Q68" s="5"/>
      <c r="R68" s="5"/>
      <c r="S68" s="84"/>
      <c r="U68" s="5"/>
      <c r="V68" s="5"/>
    </row>
    <row r="69" spans="5:22" ht="36" customHeight="1" thickBot="1" x14ac:dyDescent="0.3">
      <c r="E69" s="4"/>
      <c r="G69" s="85">
        <f t="shared" si="8"/>
        <v>1</v>
      </c>
      <c r="H69" s="85" t="str">
        <f t="shared" si="7"/>
        <v>02.22</v>
      </c>
      <c r="I69" s="100"/>
      <c r="J69" s="91"/>
      <c r="K69" s="92" t="s">
        <v>94</v>
      </c>
      <c r="L69" s="92"/>
      <c r="M69" s="91"/>
      <c r="N69" s="92" t="s">
        <v>286</v>
      </c>
      <c r="O69" s="99"/>
      <c r="P69" s="93"/>
      <c r="Q69" s="5"/>
      <c r="R69" s="5"/>
      <c r="S69" s="84"/>
      <c r="U69" s="5"/>
      <c r="V69" s="5"/>
    </row>
    <row r="70" spans="5:22" ht="36" customHeight="1" thickBot="1" x14ac:dyDescent="0.3">
      <c r="E70" s="4"/>
      <c r="G70" s="85">
        <f t="shared" si="8"/>
        <v>1</v>
      </c>
      <c r="H70" s="85" t="str">
        <f t="shared" si="7"/>
        <v>02.23</v>
      </c>
      <c r="I70" s="100"/>
      <c r="J70" s="91"/>
      <c r="K70" s="92" t="s">
        <v>94</v>
      </c>
      <c r="L70" s="92"/>
      <c r="M70" s="91"/>
      <c r="N70" s="92" t="s">
        <v>136</v>
      </c>
      <c r="O70" s="99"/>
      <c r="P70" s="93"/>
      <c r="Q70" s="5"/>
      <c r="R70" s="5"/>
      <c r="S70" s="84"/>
      <c r="U70" s="5"/>
      <c r="V70" s="5"/>
    </row>
    <row r="71" spans="5:22" ht="36" customHeight="1" thickBot="1" x14ac:dyDescent="0.3">
      <c r="E71" s="4"/>
      <c r="G71" s="85">
        <f t="shared" si="8"/>
        <v>1</v>
      </c>
      <c r="H71" s="85" t="str">
        <f t="shared" si="7"/>
        <v>02.24</v>
      </c>
      <c r="I71" s="100"/>
      <c r="J71" s="91"/>
      <c r="K71" s="92" t="s">
        <v>94</v>
      </c>
      <c r="L71" s="92"/>
      <c r="M71" s="91"/>
      <c r="N71" s="92" t="s">
        <v>137</v>
      </c>
      <c r="O71" s="99"/>
      <c r="P71" s="93"/>
      <c r="Q71" s="5"/>
      <c r="R71" s="5"/>
      <c r="S71" s="84"/>
      <c r="U71" s="5"/>
      <c r="V71" s="5"/>
    </row>
    <row r="72" spans="5:22" ht="36" customHeight="1" thickBot="1" x14ac:dyDescent="0.3">
      <c r="E72" s="4"/>
      <c r="G72" s="85">
        <f t="shared" si="8"/>
        <v>1</v>
      </c>
      <c r="H72" s="85" t="str">
        <f t="shared" si="7"/>
        <v>02.25</v>
      </c>
      <c r="I72" s="100"/>
      <c r="J72" s="91"/>
      <c r="K72" s="92" t="s">
        <v>94</v>
      </c>
      <c r="L72" s="92"/>
      <c r="M72" s="91"/>
      <c r="N72" s="92" t="s">
        <v>138</v>
      </c>
      <c r="O72" s="99"/>
      <c r="P72" s="93"/>
      <c r="Q72" s="5"/>
      <c r="R72" s="5"/>
      <c r="S72" s="84"/>
      <c r="U72" s="5"/>
      <c r="V72" s="5"/>
    </row>
    <row r="73" spans="5:22" ht="36" customHeight="1" thickBot="1" x14ac:dyDescent="0.3">
      <c r="E73" s="4"/>
      <c r="G73" s="85">
        <f t="shared" si="8"/>
        <v>1</v>
      </c>
      <c r="H73" s="85" t="str">
        <f t="shared" si="7"/>
        <v>02.26</v>
      </c>
      <c r="I73" s="100"/>
      <c r="J73" s="91"/>
      <c r="K73" s="92" t="s">
        <v>94</v>
      </c>
      <c r="L73" s="92"/>
      <c r="M73" s="91"/>
      <c r="N73" s="92" t="s">
        <v>139</v>
      </c>
      <c r="O73" s="99"/>
      <c r="P73" s="93"/>
      <c r="Q73" s="5"/>
      <c r="R73" s="5"/>
      <c r="S73" s="84"/>
      <c r="U73" s="5"/>
      <c r="V73" s="5"/>
    </row>
    <row r="74" spans="5:22" ht="36" customHeight="1" thickBot="1" x14ac:dyDescent="0.3">
      <c r="E74" s="4"/>
      <c r="G74" s="85">
        <f t="shared" si="8"/>
        <v>1</v>
      </c>
      <c r="H74" s="85" t="str">
        <f t="shared" si="7"/>
        <v>03.06</v>
      </c>
      <c r="I74" s="100"/>
      <c r="J74" s="91"/>
      <c r="K74" s="92" t="s">
        <v>118</v>
      </c>
      <c r="L74" s="92"/>
      <c r="M74" s="91"/>
      <c r="N74" s="92" t="s">
        <v>121</v>
      </c>
      <c r="O74" s="99"/>
      <c r="P74" s="93"/>
      <c r="Q74" s="5"/>
      <c r="R74" s="5"/>
      <c r="S74" s="84"/>
      <c r="U74" s="5"/>
      <c r="V74" s="5"/>
    </row>
    <row r="75" spans="5:22" ht="36" customHeight="1" thickBot="1" x14ac:dyDescent="0.3">
      <c r="E75" s="4"/>
      <c r="G75" s="85">
        <f t="shared" si="8"/>
        <v>1</v>
      </c>
      <c r="H75" s="85" t="str">
        <f t="shared" si="7"/>
        <v>03.07</v>
      </c>
      <c r="I75" s="100"/>
      <c r="J75" s="91"/>
      <c r="K75" s="92" t="s">
        <v>118</v>
      </c>
      <c r="L75" s="92"/>
      <c r="M75" s="91"/>
      <c r="N75" s="92" t="s">
        <v>88</v>
      </c>
      <c r="O75" s="99"/>
      <c r="P75" s="93"/>
      <c r="Q75" s="5"/>
      <c r="R75" s="5"/>
      <c r="S75" s="84"/>
      <c r="U75" s="5"/>
      <c r="V75" s="5"/>
    </row>
    <row r="76" spans="5:22" ht="36" customHeight="1" thickBot="1" x14ac:dyDescent="0.3">
      <c r="E76" s="4"/>
      <c r="G76" s="85">
        <f t="shared" si="8"/>
        <v>1</v>
      </c>
      <c r="H76" s="85" t="str">
        <f t="shared" si="7"/>
        <v>03.08</v>
      </c>
      <c r="I76" s="100"/>
      <c r="J76" s="91"/>
      <c r="K76" s="92" t="s">
        <v>118</v>
      </c>
      <c r="L76" s="92"/>
      <c r="M76" s="91"/>
      <c r="N76" s="92" t="s">
        <v>122</v>
      </c>
      <c r="O76" s="99"/>
      <c r="P76" s="93"/>
      <c r="Q76" s="5"/>
      <c r="R76" s="5"/>
      <c r="S76" s="84"/>
      <c r="U76" s="5"/>
      <c r="V76" s="5"/>
    </row>
    <row r="77" spans="5:22" ht="36" customHeight="1" thickBot="1" x14ac:dyDescent="0.3">
      <c r="E77" s="4"/>
      <c r="G77" s="85">
        <f t="shared" si="8"/>
        <v>1</v>
      </c>
      <c r="H77" s="85" t="str">
        <f t="shared" si="7"/>
        <v>03.09</v>
      </c>
      <c r="I77" s="100"/>
      <c r="J77" s="91"/>
      <c r="K77" s="92" t="s">
        <v>118</v>
      </c>
      <c r="L77" s="92"/>
      <c r="M77" s="91"/>
      <c r="N77" s="92" t="s">
        <v>123</v>
      </c>
      <c r="O77" s="99"/>
      <c r="P77" s="93"/>
      <c r="Q77" s="5"/>
      <c r="R77" s="5"/>
      <c r="S77" s="84"/>
      <c r="U77" s="5"/>
      <c r="V77" s="5"/>
    </row>
    <row r="78" spans="5:22" ht="36" customHeight="1" thickBot="1" x14ac:dyDescent="0.3">
      <c r="E78" s="4"/>
      <c r="G78" s="85">
        <f t="shared" si="8"/>
        <v>1</v>
      </c>
      <c r="H78" s="85" t="str">
        <f t="shared" si="7"/>
        <v>03.10</v>
      </c>
      <c r="I78" s="100"/>
      <c r="J78" s="91"/>
      <c r="K78" s="92" t="s">
        <v>118</v>
      </c>
      <c r="L78" s="92"/>
      <c r="M78" s="91"/>
      <c r="N78" s="92" t="s">
        <v>124</v>
      </c>
      <c r="O78" s="99"/>
      <c r="P78" s="93"/>
      <c r="Q78" s="5"/>
      <c r="R78" s="5"/>
      <c r="S78" s="84"/>
      <c r="U78" s="5"/>
      <c r="V78" s="5"/>
    </row>
    <row r="79" spans="5:22" ht="36" customHeight="1" thickBot="1" x14ac:dyDescent="0.3">
      <c r="E79" s="4"/>
      <c r="G79" s="85">
        <f t="shared" si="8"/>
        <v>1</v>
      </c>
      <c r="H79" s="85" t="str">
        <f t="shared" si="7"/>
        <v>03.11</v>
      </c>
      <c r="I79" s="100"/>
      <c r="J79" s="91"/>
      <c r="K79" s="92" t="s">
        <v>118</v>
      </c>
      <c r="L79" s="92"/>
      <c r="M79" s="91"/>
      <c r="N79" s="92" t="s">
        <v>95</v>
      </c>
      <c r="O79" s="99"/>
      <c r="P79" s="93"/>
      <c r="Q79" s="5"/>
      <c r="R79" s="5"/>
      <c r="S79" s="84"/>
      <c r="U79" s="5"/>
      <c r="V79" s="5"/>
    </row>
    <row r="80" spans="5:22" ht="36" customHeight="1" thickBot="1" x14ac:dyDescent="0.3">
      <c r="E80" s="4"/>
      <c r="G80" s="85">
        <f t="shared" si="8"/>
        <v>1</v>
      </c>
      <c r="H80" s="85" t="str">
        <f t="shared" si="7"/>
        <v>03.12</v>
      </c>
      <c r="I80" s="100"/>
      <c r="J80" s="91"/>
      <c r="K80" s="92" t="s">
        <v>118</v>
      </c>
      <c r="L80" s="92"/>
      <c r="M80" s="91"/>
      <c r="N80" s="92" t="s">
        <v>125</v>
      </c>
      <c r="O80" s="99"/>
      <c r="P80" s="93"/>
      <c r="Q80" s="5"/>
      <c r="R80" s="5"/>
      <c r="S80" s="84"/>
      <c r="U80" s="5"/>
      <c r="V80" s="5"/>
    </row>
    <row r="81" spans="5:22" ht="36" customHeight="1" thickBot="1" x14ac:dyDescent="0.3">
      <c r="E81" s="4"/>
      <c r="G81" s="85">
        <f t="shared" si="8"/>
        <v>1</v>
      </c>
      <c r="H81" s="85" t="str">
        <f t="shared" si="7"/>
        <v>03.13</v>
      </c>
      <c r="I81" s="100"/>
      <c r="J81" s="91"/>
      <c r="K81" s="92" t="s">
        <v>118</v>
      </c>
      <c r="L81" s="92"/>
      <c r="M81" s="91"/>
      <c r="N81" s="92" t="s">
        <v>126</v>
      </c>
      <c r="O81" s="99"/>
      <c r="P81" s="93"/>
      <c r="Q81" s="5"/>
      <c r="R81" s="5"/>
      <c r="S81" s="84"/>
      <c r="U81" s="5"/>
      <c r="V81" s="5"/>
    </row>
    <row r="82" spans="5:22" ht="36" customHeight="1" thickBot="1" x14ac:dyDescent="0.3">
      <c r="E82" s="4"/>
      <c r="G82" s="85">
        <f t="shared" si="8"/>
        <v>1</v>
      </c>
      <c r="H82" s="85" t="str">
        <f t="shared" si="7"/>
        <v>03.14</v>
      </c>
      <c r="I82" s="100"/>
      <c r="J82" s="91"/>
      <c r="K82" s="92" t="s">
        <v>118</v>
      </c>
      <c r="L82" s="92"/>
      <c r="M82" s="91"/>
      <c r="N82" s="92" t="s">
        <v>127</v>
      </c>
      <c r="O82" s="99"/>
      <c r="P82" s="93"/>
      <c r="Q82" s="5"/>
      <c r="R82" s="5"/>
      <c r="S82" s="84"/>
      <c r="U82" s="5"/>
      <c r="V82" s="5"/>
    </row>
    <row r="83" spans="5:22" ht="36" customHeight="1" thickBot="1" x14ac:dyDescent="0.3">
      <c r="E83" s="4"/>
      <c r="G83" s="85">
        <f t="shared" si="8"/>
        <v>1</v>
      </c>
      <c r="H83" s="85" t="str">
        <f t="shared" si="7"/>
        <v>03.15</v>
      </c>
      <c r="I83" s="100"/>
      <c r="J83" s="91"/>
      <c r="K83" s="92" t="s">
        <v>118</v>
      </c>
      <c r="L83" s="92"/>
      <c r="M83" s="91"/>
      <c r="N83" s="92" t="s">
        <v>128</v>
      </c>
      <c r="O83" s="99"/>
      <c r="P83" s="93"/>
      <c r="Q83" s="5"/>
      <c r="R83" s="5"/>
      <c r="S83" s="84"/>
      <c r="U83" s="5"/>
      <c r="V83" s="5"/>
    </row>
    <row r="84" spans="5:22" ht="36" customHeight="1" thickBot="1" x14ac:dyDescent="0.3">
      <c r="E84" s="4"/>
      <c r="G84" s="85">
        <f t="shared" si="8"/>
        <v>1</v>
      </c>
      <c r="H84" s="85" t="str">
        <f t="shared" si="7"/>
        <v>03.16</v>
      </c>
      <c r="I84" s="100"/>
      <c r="J84" s="91"/>
      <c r="K84" s="92" t="s">
        <v>118</v>
      </c>
      <c r="L84" s="92"/>
      <c r="M84" s="91"/>
      <c r="N84" s="92" t="s">
        <v>129</v>
      </c>
      <c r="O84" s="99"/>
      <c r="P84" s="93"/>
      <c r="Q84" s="5"/>
      <c r="R84" s="5"/>
      <c r="S84" s="84"/>
      <c r="U84" s="5"/>
      <c r="V84" s="5"/>
    </row>
    <row r="85" spans="5:22" ht="36" customHeight="1" thickBot="1" x14ac:dyDescent="0.3">
      <c r="E85" s="4"/>
      <c r="G85" s="85">
        <f t="shared" si="8"/>
        <v>1</v>
      </c>
      <c r="H85" s="85" t="str">
        <f t="shared" si="7"/>
        <v>03.17</v>
      </c>
      <c r="I85" s="100"/>
      <c r="J85" s="91"/>
      <c r="K85" s="92" t="s">
        <v>118</v>
      </c>
      <c r="L85" s="92"/>
      <c r="M85" s="91"/>
      <c r="N85" s="92" t="s">
        <v>130</v>
      </c>
      <c r="O85" s="99"/>
      <c r="P85" s="93"/>
      <c r="Q85" s="5"/>
      <c r="R85" s="5"/>
      <c r="S85" s="84"/>
      <c r="U85" s="5"/>
      <c r="V85" s="5"/>
    </row>
    <row r="86" spans="5:22" ht="36" customHeight="1" thickBot="1" x14ac:dyDescent="0.3">
      <c r="E86" s="4"/>
      <c r="G86" s="85">
        <f t="shared" si="8"/>
        <v>1</v>
      </c>
      <c r="H86" s="85" t="str">
        <f t="shared" si="7"/>
        <v>03.18</v>
      </c>
      <c r="I86" s="100"/>
      <c r="J86" s="91"/>
      <c r="K86" s="92" t="s">
        <v>118</v>
      </c>
      <c r="L86" s="92"/>
      <c r="M86" s="91"/>
      <c r="N86" s="92" t="s">
        <v>131</v>
      </c>
      <c r="O86" s="99"/>
      <c r="P86" s="93"/>
      <c r="Q86" s="5"/>
      <c r="R86" s="5"/>
      <c r="S86" s="84"/>
      <c r="U86" s="5"/>
      <c r="V86" s="5"/>
    </row>
    <row r="87" spans="5:22" ht="36" customHeight="1" thickBot="1" x14ac:dyDescent="0.3">
      <c r="E87" s="4"/>
      <c r="G87" s="85">
        <f t="shared" si="8"/>
        <v>1</v>
      </c>
      <c r="H87" s="85" t="str">
        <f t="shared" si="7"/>
        <v>03.19</v>
      </c>
      <c r="I87" s="100"/>
      <c r="J87" s="91"/>
      <c r="K87" s="92" t="s">
        <v>118</v>
      </c>
      <c r="L87" s="92"/>
      <c r="M87" s="91"/>
      <c r="N87" s="92" t="s">
        <v>132</v>
      </c>
      <c r="O87" s="99"/>
      <c r="P87" s="93"/>
      <c r="Q87" s="5"/>
      <c r="R87" s="5"/>
      <c r="S87" s="84"/>
      <c r="U87" s="5"/>
      <c r="V87" s="5"/>
    </row>
    <row r="88" spans="5:22" ht="36" customHeight="1" thickBot="1" x14ac:dyDescent="0.3">
      <c r="E88" s="4"/>
      <c r="G88" s="85">
        <f t="shared" si="8"/>
        <v>1</v>
      </c>
      <c r="H88" s="85" t="str">
        <f t="shared" si="7"/>
        <v>03.20</v>
      </c>
      <c r="I88" s="100"/>
      <c r="J88" s="91"/>
      <c r="K88" s="92" t="s">
        <v>118</v>
      </c>
      <c r="L88" s="92"/>
      <c r="M88" s="91"/>
      <c r="N88" s="92" t="s">
        <v>133</v>
      </c>
      <c r="O88" s="99"/>
      <c r="P88" s="93"/>
      <c r="Q88" s="5"/>
      <c r="R88" s="5"/>
      <c r="S88" s="84"/>
      <c r="U88" s="5"/>
      <c r="V88" s="5"/>
    </row>
    <row r="89" spans="5:22" ht="36" customHeight="1" thickBot="1" x14ac:dyDescent="0.3">
      <c r="E89" s="4"/>
      <c r="G89" s="85">
        <f t="shared" si="8"/>
        <v>1</v>
      </c>
      <c r="H89" s="85" t="str">
        <f t="shared" si="7"/>
        <v>03.21</v>
      </c>
      <c r="I89" s="100"/>
      <c r="J89" s="91"/>
      <c r="K89" s="92" t="s">
        <v>118</v>
      </c>
      <c r="L89" s="92"/>
      <c r="M89" s="91"/>
      <c r="N89" s="92" t="s">
        <v>134</v>
      </c>
      <c r="O89" s="99"/>
      <c r="P89" s="93"/>
      <c r="Q89" s="5"/>
      <c r="R89" s="5"/>
      <c r="S89" s="84"/>
      <c r="U89" s="5"/>
      <c r="V89" s="5"/>
    </row>
    <row r="90" spans="5:22" ht="36" customHeight="1" thickBot="1" x14ac:dyDescent="0.3">
      <c r="E90" s="4"/>
      <c r="G90" s="85">
        <f t="shared" si="8"/>
        <v>1</v>
      </c>
      <c r="H90" s="85" t="str">
        <f t="shared" si="7"/>
        <v>03.22</v>
      </c>
      <c r="I90" s="100"/>
      <c r="J90" s="91"/>
      <c r="K90" s="92" t="s">
        <v>118</v>
      </c>
      <c r="L90" s="92"/>
      <c r="M90" s="91"/>
      <c r="N90" s="92" t="s">
        <v>286</v>
      </c>
      <c r="O90" s="99"/>
      <c r="P90" s="93"/>
      <c r="Q90" s="5"/>
      <c r="R90" s="5"/>
      <c r="S90" s="84"/>
      <c r="U90" s="5"/>
      <c r="V90" s="5"/>
    </row>
    <row r="91" spans="5:22" ht="36" customHeight="1" thickBot="1" x14ac:dyDescent="0.3">
      <c r="E91" s="4"/>
      <c r="G91" s="85">
        <f t="shared" si="8"/>
        <v>1</v>
      </c>
      <c r="H91" s="85" t="str">
        <f t="shared" si="7"/>
        <v>03.23</v>
      </c>
      <c r="I91" s="100"/>
      <c r="J91" s="91"/>
      <c r="K91" s="92" t="s">
        <v>118</v>
      </c>
      <c r="L91" s="92"/>
      <c r="M91" s="91"/>
      <c r="N91" s="92" t="s">
        <v>136</v>
      </c>
      <c r="O91" s="99"/>
      <c r="P91" s="93"/>
      <c r="Q91" s="5"/>
      <c r="R91" s="5"/>
      <c r="S91" s="84"/>
      <c r="U91" s="5"/>
      <c r="V91" s="5"/>
    </row>
    <row r="92" spans="5:22" ht="36" customHeight="1" thickBot="1" x14ac:dyDescent="0.3">
      <c r="E92" s="4"/>
      <c r="G92" s="85">
        <f t="shared" si="8"/>
        <v>1</v>
      </c>
      <c r="H92" s="85" t="str">
        <f t="shared" ref="H92:H155" si="9">TEXT(INDEX($A$2:$A$27,MATCH(K92,$K$2:$K$27,0)),"00")&amp;"."&amp;TEXT(INDEX($A$2:$A$27,MATCH(N92,$K$2:$K$27,0)),"00")</f>
        <v>03.24</v>
      </c>
      <c r="I92" s="100"/>
      <c r="J92" s="91"/>
      <c r="K92" s="92" t="s">
        <v>118</v>
      </c>
      <c r="L92" s="92"/>
      <c r="M92" s="91"/>
      <c r="N92" s="92" t="s">
        <v>137</v>
      </c>
      <c r="O92" s="99"/>
      <c r="P92" s="93"/>
      <c r="Q92" s="5"/>
      <c r="R92" s="5"/>
      <c r="S92" s="84"/>
      <c r="U92" s="5"/>
      <c r="V92" s="5"/>
    </row>
    <row r="93" spans="5:22" ht="36" customHeight="1" thickBot="1" x14ac:dyDescent="0.3">
      <c r="E93" s="4"/>
      <c r="G93" s="85">
        <f t="shared" si="8"/>
        <v>1</v>
      </c>
      <c r="H93" s="85" t="str">
        <f t="shared" si="9"/>
        <v>03.25</v>
      </c>
      <c r="I93" s="100"/>
      <c r="J93" s="91"/>
      <c r="K93" s="92" t="s">
        <v>118</v>
      </c>
      <c r="L93" s="92"/>
      <c r="M93" s="91"/>
      <c r="N93" s="92" t="s">
        <v>138</v>
      </c>
      <c r="O93" s="99"/>
      <c r="P93" s="93"/>
      <c r="Q93" s="5"/>
      <c r="R93" s="5"/>
      <c r="S93" s="84"/>
      <c r="U93" s="5"/>
      <c r="V93" s="5"/>
    </row>
    <row r="94" spans="5:22" ht="36" customHeight="1" thickBot="1" x14ac:dyDescent="0.3">
      <c r="E94" s="4"/>
      <c r="G94" s="85">
        <f t="shared" si="8"/>
        <v>1</v>
      </c>
      <c r="H94" s="85" t="str">
        <f t="shared" si="9"/>
        <v>03.26</v>
      </c>
      <c r="I94" s="100"/>
      <c r="J94" s="91"/>
      <c r="K94" s="92" t="s">
        <v>118</v>
      </c>
      <c r="L94" s="92"/>
      <c r="M94" s="91"/>
      <c r="N94" s="92" t="s">
        <v>139</v>
      </c>
      <c r="O94" s="99"/>
      <c r="P94" s="93"/>
      <c r="Q94" s="5"/>
      <c r="R94" s="5"/>
      <c r="S94" s="84"/>
      <c r="U94" s="5"/>
      <c r="V94" s="5"/>
    </row>
    <row r="95" spans="5:22" ht="36" customHeight="1" thickBot="1" x14ac:dyDescent="0.3">
      <c r="E95" s="4"/>
      <c r="G95" s="85">
        <f t="shared" si="8"/>
        <v>1</v>
      </c>
      <c r="H95" s="85" t="str">
        <f t="shared" si="9"/>
        <v>04.06</v>
      </c>
      <c r="I95" s="100"/>
      <c r="J95" s="91"/>
      <c r="K95" s="92" t="s">
        <v>119</v>
      </c>
      <c r="L95" s="92"/>
      <c r="M95" s="91"/>
      <c r="N95" s="92" t="s">
        <v>121</v>
      </c>
      <c r="O95" s="99"/>
      <c r="P95" s="93"/>
      <c r="Q95" s="5"/>
      <c r="R95" s="5"/>
      <c r="S95" s="84"/>
      <c r="U95" s="5"/>
      <c r="V95" s="5"/>
    </row>
    <row r="96" spans="5:22" ht="36" customHeight="1" thickBot="1" x14ac:dyDescent="0.3">
      <c r="E96" s="4"/>
      <c r="G96" s="85">
        <f t="shared" si="8"/>
        <v>1</v>
      </c>
      <c r="H96" s="85" t="str">
        <f t="shared" si="9"/>
        <v>04.07</v>
      </c>
      <c r="I96" s="100"/>
      <c r="J96" s="91"/>
      <c r="K96" s="92" t="s">
        <v>119</v>
      </c>
      <c r="L96" s="92"/>
      <c r="M96" s="91"/>
      <c r="N96" s="92" t="s">
        <v>88</v>
      </c>
      <c r="O96" s="99"/>
      <c r="P96" s="93"/>
      <c r="Q96" s="5"/>
      <c r="R96" s="5"/>
      <c r="S96" s="84"/>
      <c r="U96" s="5"/>
      <c r="V96" s="5"/>
    </row>
    <row r="97" spans="5:22" ht="36" customHeight="1" thickBot="1" x14ac:dyDescent="0.3">
      <c r="E97" s="4"/>
      <c r="G97" s="85">
        <f t="shared" si="8"/>
        <v>1</v>
      </c>
      <c r="H97" s="85" t="str">
        <f t="shared" si="9"/>
        <v>04.08</v>
      </c>
      <c r="I97" s="100"/>
      <c r="J97" s="91"/>
      <c r="K97" s="92" t="s">
        <v>119</v>
      </c>
      <c r="L97" s="92"/>
      <c r="M97" s="91"/>
      <c r="N97" s="92" t="s">
        <v>122</v>
      </c>
      <c r="O97" s="99"/>
      <c r="P97" s="93"/>
      <c r="Q97" s="5"/>
      <c r="R97" s="5"/>
      <c r="S97" s="84"/>
      <c r="U97" s="5"/>
      <c r="V97" s="5"/>
    </row>
    <row r="98" spans="5:22" ht="36" customHeight="1" thickBot="1" x14ac:dyDescent="0.3">
      <c r="E98" s="4"/>
      <c r="G98" s="85">
        <f t="shared" si="8"/>
        <v>1</v>
      </c>
      <c r="H98" s="85" t="str">
        <f t="shared" si="9"/>
        <v>04.09</v>
      </c>
      <c r="I98" s="100"/>
      <c r="J98" s="91"/>
      <c r="K98" s="92" t="s">
        <v>119</v>
      </c>
      <c r="L98" s="92"/>
      <c r="M98" s="91"/>
      <c r="N98" s="92" t="s">
        <v>123</v>
      </c>
      <c r="O98" s="99"/>
      <c r="P98" s="93"/>
      <c r="Q98" s="5"/>
      <c r="R98" s="5"/>
      <c r="S98" s="84"/>
      <c r="U98" s="5"/>
      <c r="V98" s="5"/>
    </row>
    <row r="99" spans="5:22" ht="36" customHeight="1" thickBot="1" x14ac:dyDescent="0.3">
      <c r="E99" s="4"/>
      <c r="G99" s="85">
        <f t="shared" si="8"/>
        <v>1</v>
      </c>
      <c r="H99" s="85" t="str">
        <f t="shared" si="9"/>
        <v>04.10</v>
      </c>
      <c r="I99" s="100"/>
      <c r="J99" s="91"/>
      <c r="K99" s="92" t="s">
        <v>119</v>
      </c>
      <c r="L99" s="92"/>
      <c r="M99" s="91"/>
      <c r="N99" s="92" t="s">
        <v>124</v>
      </c>
      <c r="O99" s="99"/>
      <c r="P99" s="93"/>
      <c r="Q99" s="5"/>
      <c r="R99" s="5"/>
      <c r="S99" s="84"/>
      <c r="U99" s="5"/>
      <c r="V99" s="5"/>
    </row>
    <row r="100" spans="5:22" ht="36" customHeight="1" thickBot="1" x14ac:dyDescent="0.3">
      <c r="E100" s="4"/>
      <c r="G100" s="85">
        <f t="shared" si="8"/>
        <v>1</v>
      </c>
      <c r="H100" s="85" t="str">
        <f t="shared" si="9"/>
        <v>04.11</v>
      </c>
      <c r="I100" s="100"/>
      <c r="J100" s="91"/>
      <c r="K100" s="92" t="s">
        <v>119</v>
      </c>
      <c r="L100" s="92"/>
      <c r="M100" s="91"/>
      <c r="N100" s="92" t="s">
        <v>95</v>
      </c>
      <c r="O100" s="99"/>
      <c r="P100" s="93"/>
      <c r="Q100" s="5"/>
      <c r="R100" s="5"/>
      <c r="S100" s="84"/>
      <c r="U100" s="5"/>
      <c r="V100" s="5"/>
    </row>
    <row r="101" spans="5:22" ht="36" customHeight="1" thickBot="1" x14ac:dyDescent="0.3">
      <c r="E101" s="4"/>
      <c r="G101" s="85">
        <f t="shared" si="8"/>
        <v>1</v>
      </c>
      <c r="H101" s="85" t="str">
        <f t="shared" si="9"/>
        <v>04.12</v>
      </c>
      <c r="I101" s="100"/>
      <c r="J101" s="91"/>
      <c r="K101" s="92" t="s">
        <v>119</v>
      </c>
      <c r="L101" s="92"/>
      <c r="M101" s="91"/>
      <c r="N101" s="92" t="s">
        <v>125</v>
      </c>
      <c r="O101" s="99"/>
      <c r="P101" s="93"/>
      <c r="Q101" s="5"/>
      <c r="R101" s="5"/>
      <c r="S101" s="84"/>
      <c r="U101" s="5"/>
      <c r="V101" s="5"/>
    </row>
    <row r="102" spans="5:22" ht="36" customHeight="1" thickBot="1" x14ac:dyDescent="0.3">
      <c r="E102" s="4"/>
      <c r="G102" s="85">
        <f t="shared" si="8"/>
        <v>1</v>
      </c>
      <c r="H102" s="85" t="str">
        <f t="shared" si="9"/>
        <v>04.13</v>
      </c>
      <c r="I102" s="100"/>
      <c r="J102" s="91"/>
      <c r="K102" s="92" t="s">
        <v>119</v>
      </c>
      <c r="L102" s="92"/>
      <c r="M102" s="91"/>
      <c r="N102" s="92" t="s">
        <v>126</v>
      </c>
      <c r="O102" s="99"/>
      <c r="P102" s="93"/>
      <c r="Q102" s="5"/>
      <c r="R102" s="5"/>
      <c r="S102" s="84"/>
      <c r="U102" s="5"/>
      <c r="V102" s="5"/>
    </row>
    <row r="103" spans="5:22" ht="36" customHeight="1" thickBot="1" x14ac:dyDescent="0.3">
      <c r="E103" s="4"/>
      <c r="G103" s="85">
        <f t="shared" si="8"/>
        <v>1</v>
      </c>
      <c r="H103" s="85" t="str">
        <f t="shared" si="9"/>
        <v>04.14</v>
      </c>
      <c r="I103" s="100"/>
      <c r="J103" s="91"/>
      <c r="K103" s="92" t="s">
        <v>119</v>
      </c>
      <c r="L103" s="92"/>
      <c r="M103" s="91"/>
      <c r="N103" s="92" t="s">
        <v>127</v>
      </c>
      <c r="O103" s="99"/>
      <c r="P103" s="93"/>
      <c r="Q103" s="5"/>
      <c r="R103" s="5"/>
      <c r="S103" s="84"/>
      <c r="U103" s="5"/>
      <c r="V103" s="5"/>
    </row>
    <row r="104" spans="5:22" ht="36" customHeight="1" thickBot="1" x14ac:dyDescent="0.3">
      <c r="E104" s="4"/>
      <c r="G104" s="85">
        <f t="shared" si="8"/>
        <v>1</v>
      </c>
      <c r="H104" s="85" t="str">
        <f t="shared" si="9"/>
        <v>04.15</v>
      </c>
      <c r="I104" s="100"/>
      <c r="J104" s="91"/>
      <c r="K104" s="92" t="s">
        <v>119</v>
      </c>
      <c r="L104" s="92"/>
      <c r="M104" s="91"/>
      <c r="N104" s="92" t="s">
        <v>128</v>
      </c>
      <c r="O104" s="99"/>
      <c r="P104" s="93"/>
      <c r="Q104" s="5"/>
      <c r="R104" s="5"/>
      <c r="S104" s="84"/>
      <c r="U104" s="5"/>
      <c r="V104" s="5"/>
    </row>
    <row r="105" spans="5:22" ht="36" customHeight="1" thickBot="1" x14ac:dyDescent="0.3">
      <c r="E105" s="4"/>
      <c r="G105" s="85">
        <f t="shared" si="8"/>
        <v>1</v>
      </c>
      <c r="H105" s="85" t="str">
        <f t="shared" si="9"/>
        <v>04.16</v>
      </c>
      <c r="I105" s="100"/>
      <c r="J105" s="91"/>
      <c r="K105" s="92" t="s">
        <v>119</v>
      </c>
      <c r="L105" s="92"/>
      <c r="M105" s="91"/>
      <c r="N105" s="92" t="s">
        <v>129</v>
      </c>
      <c r="O105" s="99"/>
      <c r="P105" s="93"/>
      <c r="Q105" s="5"/>
      <c r="R105" s="5"/>
      <c r="S105" s="84"/>
      <c r="U105" s="5"/>
      <c r="V105" s="5"/>
    </row>
    <row r="106" spans="5:22" ht="36" customHeight="1" thickBot="1" x14ac:dyDescent="0.3">
      <c r="E106" s="4"/>
      <c r="G106" s="85">
        <f t="shared" si="8"/>
        <v>1</v>
      </c>
      <c r="H106" s="85" t="str">
        <f t="shared" si="9"/>
        <v>04.17</v>
      </c>
      <c r="I106" s="100"/>
      <c r="J106" s="91"/>
      <c r="K106" s="92" t="s">
        <v>119</v>
      </c>
      <c r="L106" s="92"/>
      <c r="M106" s="91"/>
      <c r="N106" s="92" t="s">
        <v>130</v>
      </c>
      <c r="O106" s="99"/>
      <c r="P106" s="93"/>
      <c r="Q106" s="5"/>
      <c r="R106" s="5"/>
      <c r="S106" s="84"/>
      <c r="U106" s="5"/>
      <c r="V106" s="5"/>
    </row>
    <row r="107" spans="5:22" ht="36" customHeight="1" thickBot="1" x14ac:dyDescent="0.3">
      <c r="E107" s="4"/>
      <c r="G107" s="85">
        <f t="shared" si="8"/>
        <v>1</v>
      </c>
      <c r="H107" s="85" t="str">
        <f t="shared" si="9"/>
        <v>04.18</v>
      </c>
      <c r="I107" s="100"/>
      <c r="J107" s="91"/>
      <c r="K107" s="92" t="s">
        <v>119</v>
      </c>
      <c r="L107" s="92"/>
      <c r="M107" s="91"/>
      <c r="N107" s="92" t="s">
        <v>131</v>
      </c>
      <c r="O107" s="99"/>
      <c r="P107" s="93"/>
      <c r="Q107" s="5"/>
      <c r="R107" s="5"/>
      <c r="S107" s="84"/>
      <c r="U107" s="5"/>
      <c r="V107" s="5"/>
    </row>
    <row r="108" spans="5:22" ht="36" customHeight="1" thickBot="1" x14ac:dyDescent="0.3">
      <c r="E108" s="4"/>
      <c r="G108" s="85">
        <f t="shared" si="8"/>
        <v>1</v>
      </c>
      <c r="H108" s="85" t="str">
        <f t="shared" si="9"/>
        <v>04.19</v>
      </c>
      <c r="I108" s="100"/>
      <c r="J108" s="91"/>
      <c r="K108" s="92" t="s">
        <v>119</v>
      </c>
      <c r="L108" s="92"/>
      <c r="M108" s="91"/>
      <c r="N108" s="92" t="s">
        <v>132</v>
      </c>
      <c r="O108" s="99"/>
      <c r="P108" s="93"/>
      <c r="Q108" s="5"/>
      <c r="R108" s="5"/>
      <c r="S108" s="84"/>
      <c r="U108" s="5"/>
      <c r="V108" s="5"/>
    </row>
    <row r="109" spans="5:22" ht="36" customHeight="1" thickBot="1" x14ac:dyDescent="0.3">
      <c r="E109" s="4"/>
      <c r="G109" s="85">
        <f t="shared" si="8"/>
        <v>1</v>
      </c>
      <c r="H109" s="85" t="str">
        <f t="shared" si="9"/>
        <v>04.20</v>
      </c>
      <c r="I109" s="100"/>
      <c r="J109" s="91"/>
      <c r="K109" s="92" t="s">
        <v>119</v>
      </c>
      <c r="L109" s="92"/>
      <c r="M109" s="91"/>
      <c r="N109" s="92" t="s">
        <v>133</v>
      </c>
      <c r="O109" s="99"/>
      <c r="P109" s="93"/>
      <c r="Q109" s="5"/>
      <c r="R109" s="5"/>
      <c r="S109" s="84"/>
      <c r="U109" s="5"/>
      <c r="V109" s="5"/>
    </row>
    <row r="110" spans="5:22" ht="36" customHeight="1" thickBot="1" x14ac:dyDescent="0.3">
      <c r="E110" s="4"/>
      <c r="G110" s="85">
        <f t="shared" si="8"/>
        <v>1</v>
      </c>
      <c r="H110" s="85" t="str">
        <f t="shared" si="9"/>
        <v>04.21</v>
      </c>
      <c r="I110" s="100"/>
      <c r="J110" s="91"/>
      <c r="K110" s="92" t="s">
        <v>119</v>
      </c>
      <c r="L110" s="92"/>
      <c r="M110" s="91"/>
      <c r="N110" s="92" t="s">
        <v>134</v>
      </c>
      <c r="O110" s="99"/>
      <c r="P110" s="93"/>
      <c r="Q110" s="5"/>
      <c r="R110" s="5"/>
      <c r="S110" s="84"/>
      <c r="U110" s="5"/>
      <c r="V110" s="5"/>
    </row>
    <row r="111" spans="5:22" ht="36" customHeight="1" thickBot="1" x14ac:dyDescent="0.3">
      <c r="E111" s="4"/>
      <c r="G111" s="85">
        <f t="shared" si="8"/>
        <v>1</v>
      </c>
      <c r="H111" s="85" t="str">
        <f t="shared" si="9"/>
        <v>04.22</v>
      </c>
      <c r="I111" s="100"/>
      <c r="J111" s="91"/>
      <c r="K111" s="92" t="s">
        <v>119</v>
      </c>
      <c r="L111" s="92"/>
      <c r="M111" s="91"/>
      <c r="N111" s="92" t="s">
        <v>286</v>
      </c>
      <c r="O111" s="99"/>
      <c r="P111" s="93"/>
      <c r="Q111" s="5"/>
      <c r="R111" s="5"/>
      <c r="S111" s="84"/>
      <c r="U111" s="5"/>
      <c r="V111" s="5"/>
    </row>
    <row r="112" spans="5:22" ht="36" customHeight="1" thickBot="1" x14ac:dyDescent="0.3">
      <c r="E112" s="4"/>
      <c r="G112" s="85">
        <f t="shared" si="8"/>
        <v>1</v>
      </c>
      <c r="H112" s="85" t="str">
        <f t="shared" si="9"/>
        <v>04.23</v>
      </c>
      <c r="I112" s="100"/>
      <c r="J112" s="91"/>
      <c r="K112" s="92" t="s">
        <v>119</v>
      </c>
      <c r="L112" s="92"/>
      <c r="M112" s="91"/>
      <c r="N112" s="92" t="s">
        <v>136</v>
      </c>
      <c r="O112" s="99"/>
      <c r="P112" s="93"/>
      <c r="Q112" s="5"/>
      <c r="R112" s="5"/>
      <c r="S112" s="84"/>
      <c r="U112" s="5"/>
      <c r="V112" s="5"/>
    </row>
    <row r="113" spans="5:22" ht="36" customHeight="1" thickBot="1" x14ac:dyDescent="0.3">
      <c r="E113" s="4"/>
      <c r="G113" s="85">
        <f t="shared" si="8"/>
        <v>1</v>
      </c>
      <c r="H113" s="85" t="str">
        <f t="shared" si="9"/>
        <v>04.24</v>
      </c>
      <c r="I113" s="100"/>
      <c r="J113" s="91"/>
      <c r="K113" s="92" t="s">
        <v>119</v>
      </c>
      <c r="L113" s="92"/>
      <c r="M113" s="91"/>
      <c r="N113" s="92" t="s">
        <v>137</v>
      </c>
      <c r="O113" s="99"/>
      <c r="P113" s="93"/>
      <c r="Q113" s="5"/>
      <c r="R113" s="5"/>
      <c r="S113" s="84"/>
      <c r="U113" s="5"/>
      <c r="V113" s="5"/>
    </row>
    <row r="114" spans="5:22" ht="36" customHeight="1" thickBot="1" x14ac:dyDescent="0.3">
      <c r="E114" s="4"/>
      <c r="G114" s="85">
        <f t="shared" si="8"/>
        <v>1</v>
      </c>
      <c r="H114" s="85" t="str">
        <f t="shared" si="9"/>
        <v>04.25</v>
      </c>
      <c r="I114" s="100"/>
      <c r="J114" s="91"/>
      <c r="K114" s="92" t="s">
        <v>119</v>
      </c>
      <c r="L114" s="92"/>
      <c r="M114" s="91"/>
      <c r="N114" s="92" t="s">
        <v>138</v>
      </c>
      <c r="O114" s="99"/>
      <c r="P114" s="93"/>
      <c r="Q114" s="5"/>
      <c r="R114" s="5"/>
      <c r="S114" s="84"/>
      <c r="U114" s="5"/>
      <c r="V114" s="5"/>
    </row>
    <row r="115" spans="5:22" ht="36" customHeight="1" thickBot="1" x14ac:dyDescent="0.3">
      <c r="E115" s="4"/>
      <c r="G115" s="85">
        <f t="shared" si="8"/>
        <v>1</v>
      </c>
      <c r="H115" s="85" t="str">
        <f t="shared" si="9"/>
        <v>04.26</v>
      </c>
      <c r="I115" s="100"/>
      <c r="J115" s="91"/>
      <c r="K115" s="92" t="s">
        <v>119</v>
      </c>
      <c r="L115" s="92"/>
      <c r="M115" s="91"/>
      <c r="N115" s="92" t="s">
        <v>139</v>
      </c>
      <c r="O115" s="99"/>
      <c r="P115" s="93"/>
      <c r="Q115" s="5"/>
      <c r="R115" s="5"/>
      <c r="S115" s="84"/>
      <c r="U115" s="5"/>
      <c r="V115" s="5"/>
    </row>
    <row r="116" spans="5:22" ht="36" customHeight="1" thickBot="1" x14ac:dyDescent="0.3">
      <c r="E116" s="4"/>
      <c r="G116" s="85">
        <f t="shared" si="8"/>
        <v>1</v>
      </c>
      <c r="H116" s="85" t="str">
        <f t="shared" si="9"/>
        <v>05.06</v>
      </c>
      <c r="I116" s="100"/>
      <c r="J116" s="91"/>
      <c r="K116" s="92" t="s">
        <v>120</v>
      </c>
      <c r="L116" s="92"/>
      <c r="M116" s="91"/>
      <c r="N116" s="92" t="s">
        <v>121</v>
      </c>
      <c r="O116" s="99"/>
      <c r="P116" s="93"/>
      <c r="Q116" s="5"/>
      <c r="R116" s="5"/>
      <c r="S116" s="84"/>
      <c r="U116" s="5"/>
      <c r="V116" s="5"/>
    </row>
    <row r="117" spans="5:22" ht="36" customHeight="1" thickBot="1" x14ac:dyDescent="0.3">
      <c r="E117" s="4"/>
      <c r="G117" s="85">
        <f t="shared" si="8"/>
        <v>1</v>
      </c>
      <c r="H117" s="85" t="str">
        <f t="shared" si="9"/>
        <v>05.07</v>
      </c>
      <c r="I117" s="100"/>
      <c r="J117" s="91"/>
      <c r="K117" s="92" t="s">
        <v>120</v>
      </c>
      <c r="L117" s="92"/>
      <c r="M117" s="91"/>
      <c r="N117" s="92" t="s">
        <v>88</v>
      </c>
      <c r="O117" s="99"/>
      <c r="P117" s="93"/>
      <c r="Q117" s="5"/>
      <c r="R117" s="5"/>
      <c r="S117" s="84"/>
      <c r="U117" s="5"/>
      <c r="V117" s="5"/>
    </row>
    <row r="118" spans="5:22" ht="36" customHeight="1" thickBot="1" x14ac:dyDescent="0.3">
      <c r="E118" s="4"/>
      <c r="G118" s="85">
        <f t="shared" si="8"/>
        <v>1</v>
      </c>
      <c r="H118" s="85" t="str">
        <f t="shared" si="9"/>
        <v>05.08</v>
      </c>
      <c r="I118" s="100"/>
      <c r="J118" s="91"/>
      <c r="K118" s="92" t="s">
        <v>120</v>
      </c>
      <c r="L118" s="92"/>
      <c r="M118" s="91"/>
      <c r="N118" s="92" t="s">
        <v>122</v>
      </c>
      <c r="O118" s="99"/>
      <c r="P118" s="93"/>
      <c r="Q118" s="5"/>
      <c r="R118" s="5"/>
      <c r="S118" s="84"/>
      <c r="U118" s="5"/>
      <c r="V118" s="5"/>
    </row>
    <row r="119" spans="5:22" ht="36" customHeight="1" thickBot="1" x14ac:dyDescent="0.3">
      <c r="E119" s="4"/>
      <c r="G119" s="85">
        <f t="shared" si="8"/>
        <v>1</v>
      </c>
      <c r="H119" s="85" t="str">
        <f t="shared" si="9"/>
        <v>05.09</v>
      </c>
      <c r="I119" s="100"/>
      <c r="J119" s="91"/>
      <c r="K119" s="92" t="s">
        <v>120</v>
      </c>
      <c r="L119" s="92"/>
      <c r="M119" s="91"/>
      <c r="N119" s="92" t="s">
        <v>123</v>
      </c>
      <c r="O119" s="99"/>
      <c r="P119" s="93"/>
      <c r="Q119" s="5"/>
      <c r="R119" s="5"/>
      <c r="S119" s="84"/>
      <c r="U119" s="5"/>
      <c r="V119" s="5"/>
    </row>
    <row r="120" spans="5:22" ht="36" customHeight="1" thickBot="1" x14ac:dyDescent="0.3">
      <c r="E120" s="4"/>
      <c r="G120" s="85">
        <f t="shared" si="8"/>
        <v>1</v>
      </c>
      <c r="H120" s="85" t="str">
        <f t="shared" si="9"/>
        <v>05.10</v>
      </c>
      <c r="I120" s="100"/>
      <c r="J120" s="91"/>
      <c r="K120" s="92" t="s">
        <v>120</v>
      </c>
      <c r="L120" s="92"/>
      <c r="M120" s="91"/>
      <c r="N120" s="92" t="s">
        <v>124</v>
      </c>
      <c r="O120" s="99"/>
      <c r="P120" s="93"/>
      <c r="Q120" s="5"/>
      <c r="R120" s="5"/>
      <c r="S120" s="84"/>
      <c r="U120" s="5"/>
      <c r="V120" s="5"/>
    </row>
    <row r="121" spans="5:22" ht="36" customHeight="1" thickBot="1" x14ac:dyDescent="0.3">
      <c r="E121" s="4"/>
      <c r="G121" s="85">
        <f t="shared" si="8"/>
        <v>1</v>
      </c>
      <c r="H121" s="85" t="str">
        <f t="shared" si="9"/>
        <v>05.11</v>
      </c>
      <c r="I121" s="100"/>
      <c r="J121" s="91"/>
      <c r="K121" s="92" t="s">
        <v>120</v>
      </c>
      <c r="L121" s="92"/>
      <c r="M121" s="91"/>
      <c r="N121" s="92" t="s">
        <v>95</v>
      </c>
      <c r="O121" s="99"/>
      <c r="P121" s="93"/>
      <c r="Q121" s="5"/>
      <c r="R121" s="5"/>
      <c r="S121" s="84"/>
      <c r="U121" s="5"/>
      <c r="V121" s="5"/>
    </row>
    <row r="122" spans="5:22" ht="36" customHeight="1" thickBot="1" x14ac:dyDescent="0.3">
      <c r="E122" s="4"/>
      <c r="G122" s="85">
        <f t="shared" si="8"/>
        <v>1</v>
      </c>
      <c r="H122" s="85" t="str">
        <f t="shared" si="9"/>
        <v>05.12</v>
      </c>
      <c r="I122" s="100"/>
      <c r="J122" s="91"/>
      <c r="K122" s="92" t="s">
        <v>120</v>
      </c>
      <c r="L122" s="92"/>
      <c r="M122" s="91"/>
      <c r="N122" s="92" t="s">
        <v>125</v>
      </c>
      <c r="O122" s="99"/>
      <c r="P122" s="93"/>
      <c r="Q122" s="5"/>
      <c r="R122" s="5"/>
      <c r="S122" s="84"/>
      <c r="U122" s="5"/>
      <c r="V122" s="5"/>
    </row>
    <row r="123" spans="5:22" ht="36" customHeight="1" thickBot="1" x14ac:dyDescent="0.3">
      <c r="E123" s="4"/>
      <c r="G123" s="85">
        <f t="shared" si="8"/>
        <v>1</v>
      </c>
      <c r="H123" s="85" t="str">
        <f t="shared" si="9"/>
        <v>05.13</v>
      </c>
      <c r="I123" s="100"/>
      <c r="J123" s="91"/>
      <c r="K123" s="92" t="s">
        <v>120</v>
      </c>
      <c r="L123" s="92"/>
      <c r="M123" s="91"/>
      <c r="N123" s="92" t="s">
        <v>126</v>
      </c>
      <c r="O123" s="99"/>
      <c r="P123" s="93"/>
      <c r="Q123" s="5"/>
      <c r="R123" s="5"/>
      <c r="S123" s="84"/>
      <c r="U123" s="5"/>
      <c r="V123" s="5"/>
    </row>
    <row r="124" spans="5:22" ht="36" customHeight="1" thickBot="1" x14ac:dyDescent="0.3">
      <c r="E124" s="4"/>
      <c r="G124" s="85">
        <f t="shared" si="8"/>
        <v>1</v>
      </c>
      <c r="H124" s="85" t="str">
        <f t="shared" si="9"/>
        <v>05.14</v>
      </c>
      <c r="I124" s="100"/>
      <c r="J124" s="91"/>
      <c r="K124" s="92" t="s">
        <v>120</v>
      </c>
      <c r="L124" s="92"/>
      <c r="M124" s="91"/>
      <c r="N124" s="92" t="s">
        <v>127</v>
      </c>
      <c r="O124" s="99"/>
      <c r="P124" s="93"/>
      <c r="Q124" s="5"/>
      <c r="R124" s="5"/>
      <c r="S124" s="84"/>
      <c r="U124" s="5"/>
      <c r="V124" s="5"/>
    </row>
    <row r="125" spans="5:22" ht="36" customHeight="1" thickBot="1" x14ac:dyDescent="0.3">
      <c r="E125" s="4"/>
      <c r="G125" s="85">
        <f t="shared" si="8"/>
        <v>1</v>
      </c>
      <c r="H125" s="85" t="str">
        <f t="shared" si="9"/>
        <v>05.15</v>
      </c>
      <c r="I125" s="100"/>
      <c r="J125" s="91"/>
      <c r="K125" s="92" t="s">
        <v>120</v>
      </c>
      <c r="L125" s="92"/>
      <c r="M125" s="91"/>
      <c r="N125" s="92" t="s">
        <v>128</v>
      </c>
      <c r="O125" s="99"/>
      <c r="P125" s="93"/>
      <c r="Q125" s="5"/>
      <c r="R125" s="5"/>
      <c r="S125" s="84"/>
      <c r="U125" s="5"/>
      <c r="V125" s="5"/>
    </row>
    <row r="126" spans="5:22" ht="36" customHeight="1" thickBot="1" x14ac:dyDescent="0.3">
      <c r="E126" s="4"/>
      <c r="G126" s="85">
        <f t="shared" si="8"/>
        <v>1</v>
      </c>
      <c r="H126" s="85" t="str">
        <f t="shared" si="9"/>
        <v>05.16</v>
      </c>
      <c r="I126" s="100"/>
      <c r="J126" s="91"/>
      <c r="K126" s="92" t="s">
        <v>120</v>
      </c>
      <c r="L126" s="92"/>
      <c r="M126" s="91"/>
      <c r="N126" s="92" t="s">
        <v>129</v>
      </c>
      <c r="O126" s="99"/>
      <c r="P126" s="93"/>
      <c r="Q126" s="5"/>
      <c r="R126" s="5"/>
      <c r="S126" s="84"/>
      <c r="U126" s="5"/>
      <c r="V126" s="5"/>
    </row>
    <row r="127" spans="5:22" ht="36" customHeight="1" thickBot="1" x14ac:dyDescent="0.3">
      <c r="E127" s="4"/>
      <c r="G127" s="85">
        <f t="shared" si="8"/>
        <v>1</v>
      </c>
      <c r="H127" s="85" t="str">
        <f t="shared" si="9"/>
        <v>05.17</v>
      </c>
      <c r="I127" s="100"/>
      <c r="J127" s="91"/>
      <c r="K127" s="92" t="s">
        <v>120</v>
      </c>
      <c r="L127" s="92"/>
      <c r="M127" s="91"/>
      <c r="N127" s="92" t="s">
        <v>130</v>
      </c>
      <c r="O127" s="99"/>
      <c r="P127" s="93"/>
      <c r="Q127" s="5"/>
      <c r="R127" s="5"/>
      <c r="S127" s="84"/>
      <c r="U127" s="5"/>
      <c r="V127" s="5"/>
    </row>
    <row r="128" spans="5:22" ht="36" customHeight="1" thickBot="1" x14ac:dyDescent="0.3">
      <c r="E128" s="4"/>
      <c r="G128" s="85">
        <f t="shared" si="8"/>
        <v>1</v>
      </c>
      <c r="H128" s="85" t="str">
        <f t="shared" si="9"/>
        <v>05.18</v>
      </c>
      <c r="I128" s="100"/>
      <c r="J128" s="91"/>
      <c r="K128" s="92" t="s">
        <v>120</v>
      </c>
      <c r="L128" s="92"/>
      <c r="M128" s="91"/>
      <c r="N128" s="92" t="s">
        <v>131</v>
      </c>
      <c r="O128" s="99"/>
      <c r="P128" s="93"/>
      <c r="Q128" s="5"/>
      <c r="R128" s="5"/>
      <c r="S128" s="84"/>
      <c r="U128" s="5"/>
      <c r="V128" s="5"/>
    </row>
    <row r="129" spans="5:22" ht="36" customHeight="1" thickBot="1" x14ac:dyDescent="0.3">
      <c r="E129" s="4"/>
      <c r="G129" s="85">
        <f t="shared" si="8"/>
        <v>1</v>
      </c>
      <c r="H129" s="85" t="str">
        <f t="shared" si="9"/>
        <v>05.19</v>
      </c>
      <c r="I129" s="100"/>
      <c r="J129" s="91"/>
      <c r="K129" s="92" t="s">
        <v>120</v>
      </c>
      <c r="L129" s="92"/>
      <c r="M129" s="91"/>
      <c r="N129" s="92" t="s">
        <v>132</v>
      </c>
      <c r="O129" s="99"/>
      <c r="P129" s="93"/>
      <c r="Q129" s="5"/>
      <c r="R129" s="5"/>
      <c r="S129" s="84"/>
      <c r="U129" s="5"/>
      <c r="V129" s="5"/>
    </row>
    <row r="130" spans="5:22" ht="36" customHeight="1" thickBot="1" x14ac:dyDescent="0.3">
      <c r="E130" s="4"/>
      <c r="G130" s="85">
        <f t="shared" si="8"/>
        <v>1</v>
      </c>
      <c r="H130" s="85" t="str">
        <f t="shared" si="9"/>
        <v>05.20</v>
      </c>
      <c r="I130" s="100"/>
      <c r="J130" s="91"/>
      <c r="K130" s="92" t="s">
        <v>120</v>
      </c>
      <c r="L130" s="92"/>
      <c r="M130" s="91"/>
      <c r="N130" s="92" t="s">
        <v>133</v>
      </c>
      <c r="O130" s="99"/>
      <c r="P130" s="93"/>
      <c r="Q130" s="5"/>
      <c r="R130" s="5"/>
      <c r="S130" s="84"/>
      <c r="U130" s="5"/>
      <c r="V130" s="5"/>
    </row>
    <row r="131" spans="5:22" ht="36" customHeight="1" thickBot="1" x14ac:dyDescent="0.3">
      <c r="E131" s="4"/>
      <c r="G131" s="85">
        <f t="shared" ref="G131:G186" si="10">IF(OR(
ISNUMBER(SEARCH($H131,$F$2)),ISNUMBER(SEARCH($H131,$F$3)),ISNUMBER(SEARCH($H131,$F$4)),ISNUMBER(SEARCH($H131,$F$5)),ISNUMBER(SEARCH($H131,$F$6)),ISNUMBER(SEARCH($H131,$F$7)),ISNUMBER(SEARCH($H131,$F$8))),"",1)</f>
        <v>1</v>
      </c>
      <c r="H131" s="85" t="str">
        <f t="shared" si="9"/>
        <v>05.21</v>
      </c>
      <c r="I131" s="100"/>
      <c r="J131" s="91"/>
      <c r="K131" s="92" t="s">
        <v>120</v>
      </c>
      <c r="L131" s="92"/>
      <c r="M131" s="91"/>
      <c r="N131" s="92" t="s">
        <v>134</v>
      </c>
      <c r="O131" s="99"/>
      <c r="P131" s="93"/>
      <c r="Q131" s="5"/>
      <c r="R131" s="5"/>
      <c r="S131" s="84"/>
      <c r="U131" s="5"/>
      <c r="V131" s="5"/>
    </row>
    <row r="132" spans="5:22" ht="36" customHeight="1" thickBot="1" x14ac:dyDescent="0.3">
      <c r="E132" s="4"/>
      <c r="G132" s="85">
        <f t="shared" si="10"/>
        <v>1</v>
      </c>
      <c r="H132" s="85" t="str">
        <f t="shared" si="9"/>
        <v>05.22</v>
      </c>
      <c r="I132" s="100"/>
      <c r="J132" s="91"/>
      <c r="K132" s="92" t="s">
        <v>120</v>
      </c>
      <c r="L132" s="92"/>
      <c r="M132" s="91"/>
      <c r="N132" s="92" t="s">
        <v>286</v>
      </c>
      <c r="O132" s="99"/>
      <c r="P132" s="93"/>
      <c r="Q132" s="5"/>
      <c r="R132" s="5"/>
      <c r="S132" s="84"/>
      <c r="U132" s="5"/>
      <c r="V132" s="5"/>
    </row>
    <row r="133" spans="5:22" ht="36" customHeight="1" thickBot="1" x14ac:dyDescent="0.3">
      <c r="E133" s="4"/>
      <c r="G133" s="85">
        <f t="shared" si="10"/>
        <v>1</v>
      </c>
      <c r="H133" s="85" t="str">
        <f t="shared" si="9"/>
        <v>05.23</v>
      </c>
      <c r="I133" s="100"/>
      <c r="J133" s="91"/>
      <c r="K133" s="92" t="s">
        <v>120</v>
      </c>
      <c r="L133" s="92"/>
      <c r="M133" s="91"/>
      <c r="N133" s="92" t="s">
        <v>136</v>
      </c>
      <c r="O133" s="99"/>
      <c r="P133" s="93"/>
      <c r="Q133" s="5"/>
      <c r="R133" s="5"/>
      <c r="S133" s="84"/>
      <c r="U133" s="5"/>
      <c r="V133" s="5"/>
    </row>
    <row r="134" spans="5:22" ht="36" customHeight="1" thickBot="1" x14ac:dyDescent="0.3">
      <c r="E134" s="4"/>
      <c r="G134" s="85">
        <f t="shared" si="10"/>
        <v>1</v>
      </c>
      <c r="H134" s="85" t="str">
        <f t="shared" si="9"/>
        <v>05.24</v>
      </c>
      <c r="I134" s="100"/>
      <c r="J134" s="91"/>
      <c r="K134" s="92" t="s">
        <v>120</v>
      </c>
      <c r="L134" s="92"/>
      <c r="M134" s="91"/>
      <c r="N134" s="92" t="s">
        <v>137</v>
      </c>
      <c r="O134" s="99"/>
      <c r="P134" s="93"/>
      <c r="Q134" s="5"/>
      <c r="R134" s="5"/>
      <c r="S134" s="84"/>
      <c r="U134" s="5"/>
      <c r="V134" s="5"/>
    </row>
    <row r="135" spans="5:22" ht="36" customHeight="1" thickBot="1" x14ac:dyDescent="0.3">
      <c r="E135" s="4"/>
      <c r="G135" s="85">
        <f t="shared" si="10"/>
        <v>1</v>
      </c>
      <c r="H135" s="85" t="str">
        <f t="shared" si="9"/>
        <v>05.25</v>
      </c>
      <c r="I135" s="100"/>
      <c r="J135" s="91"/>
      <c r="K135" s="92" t="s">
        <v>120</v>
      </c>
      <c r="L135" s="92"/>
      <c r="M135" s="91"/>
      <c r="N135" s="92" t="s">
        <v>138</v>
      </c>
      <c r="O135" s="99"/>
      <c r="P135" s="93"/>
      <c r="Q135" s="5"/>
      <c r="R135" s="5"/>
      <c r="S135" s="84"/>
      <c r="U135" s="5"/>
      <c r="V135" s="5"/>
    </row>
    <row r="136" spans="5:22" ht="36" customHeight="1" thickBot="1" x14ac:dyDescent="0.3">
      <c r="E136" s="4"/>
      <c r="G136" s="85">
        <f t="shared" si="10"/>
        <v>1</v>
      </c>
      <c r="H136" s="85" t="str">
        <f t="shared" si="9"/>
        <v>05.26</v>
      </c>
      <c r="I136" s="100"/>
      <c r="J136" s="91"/>
      <c r="K136" s="92" t="s">
        <v>120</v>
      </c>
      <c r="L136" s="92"/>
      <c r="M136" s="91"/>
      <c r="N136" s="92" t="s">
        <v>139</v>
      </c>
      <c r="O136" s="99"/>
      <c r="P136" s="93"/>
      <c r="Q136" s="5"/>
      <c r="R136" s="5"/>
      <c r="S136" s="84"/>
      <c r="U136" s="5"/>
      <c r="V136" s="5"/>
    </row>
    <row r="137" spans="5:22" ht="36" customHeight="1" thickBot="1" x14ac:dyDescent="0.3">
      <c r="E137" s="4"/>
      <c r="G137" s="85">
        <f t="shared" si="10"/>
        <v>1</v>
      </c>
      <c r="H137" s="85" t="str">
        <f t="shared" si="9"/>
        <v>06.07</v>
      </c>
      <c r="I137" s="100"/>
      <c r="J137" s="91"/>
      <c r="K137" s="92" t="s">
        <v>121</v>
      </c>
      <c r="L137" s="92"/>
      <c r="M137" s="91"/>
      <c r="N137" s="92" t="s">
        <v>88</v>
      </c>
      <c r="O137" s="99"/>
      <c r="P137" s="93"/>
      <c r="Q137" s="5"/>
      <c r="R137" s="5"/>
      <c r="S137" s="84"/>
      <c r="U137" s="5"/>
      <c r="V137" s="5"/>
    </row>
    <row r="138" spans="5:22" ht="36" customHeight="1" thickBot="1" x14ac:dyDescent="0.3">
      <c r="E138" s="4"/>
      <c r="G138" s="85">
        <f t="shared" si="10"/>
        <v>1</v>
      </c>
      <c r="H138" s="85" t="str">
        <f t="shared" si="9"/>
        <v>06.08</v>
      </c>
      <c r="I138" s="100"/>
      <c r="J138" s="91"/>
      <c r="K138" s="92" t="s">
        <v>121</v>
      </c>
      <c r="L138" s="92"/>
      <c r="M138" s="91"/>
      <c r="N138" s="92" t="s">
        <v>122</v>
      </c>
      <c r="O138" s="99"/>
      <c r="P138" s="93"/>
      <c r="Q138" s="5"/>
      <c r="R138" s="5"/>
      <c r="S138" s="84"/>
      <c r="U138" s="5"/>
      <c r="V138" s="5"/>
    </row>
    <row r="139" spans="5:22" ht="36" customHeight="1" thickBot="1" x14ac:dyDescent="0.3">
      <c r="E139" s="4"/>
      <c r="G139" s="85">
        <f t="shared" si="10"/>
        <v>1</v>
      </c>
      <c r="H139" s="85" t="str">
        <f t="shared" si="9"/>
        <v>06.09</v>
      </c>
      <c r="I139" s="100"/>
      <c r="J139" s="91"/>
      <c r="K139" s="92" t="s">
        <v>121</v>
      </c>
      <c r="L139" s="92"/>
      <c r="M139" s="91"/>
      <c r="N139" s="92" t="s">
        <v>123</v>
      </c>
      <c r="O139" s="99"/>
      <c r="P139" s="93"/>
      <c r="Q139" s="5"/>
      <c r="R139" s="5"/>
      <c r="S139" s="84"/>
      <c r="U139" s="5"/>
      <c r="V139" s="5"/>
    </row>
    <row r="140" spans="5:22" ht="36" customHeight="1" thickBot="1" x14ac:dyDescent="0.3">
      <c r="E140" s="4"/>
      <c r="G140" s="85">
        <f t="shared" si="10"/>
        <v>1</v>
      </c>
      <c r="H140" s="85" t="str">
        <f t="shared" si="9"/>
        <v>06.10</v>
      </c>
      <c r="I140" s="100"/>
      <c r="J140" s="91"/>
      <c r="K140" s="92" t="s">
        <v>121</v>
      </c>
      <c r="L140" s="92"/>
      <c r="M140" s="91"/>
      <c r="N140" s="92" t="s">
        <v>124</v>
      </c>
      <c r="O140" s="99"/>
      <c r="P140" s="93"/>
      <c r="Q140" s="5"/>
      <c r="R140" s="5"/>
      <c r="S140" s="84"/>
      <c r="U140" s="5"/>
      <c r="V140" s="5"/>
    </row>
    <row r="141" spans="5:22" ht="36" customHeight="1" thickBot="1" x14ac:dyDescent="0.3">
      <c r="E141" s="4"/>
      <c r="G141" s="85">
        <f t="shared" si="10"/>
        <v>1</v>
      </c>
      <c r="H141" s="85" t="str">
        <f t="shared" si="9"/>
        <v>06.11</v>
      </c>
      <c r="I141" s="100"/>
      <c r="J141" s="91"/>
      <c r="K141" s="92" t="s">
        <v>121</v>
      </c>
      <c r="L141" s="92"/>
      <c r="M141" s="91"/>
      <c r="N141" s="92" t="s">
        <v>95</v>
      </c>
      <c r="O141" s="99"/>
      <c r="P141" s="93"/>
      <c r="Q141" s="5"/>
      <c r="R141" s="5"/>
      <c r="S141" s="84"/>
      <c r="U141" s="5"/>
      <c r="V141" s="5"/>
    </row>
    <row r="142" spans="5:22" ht="36" customHeight="1" thickBot="1" x14ac:dyDescent="0.3">
      <c r="E142" s="4"/>
      <c r="G142" s="85">
        <f t="shared" si="10"/>
        <v>1</v>
      </c>
      <c r="H142" s="85" t="str">
        <f t="shared" si="9"/>
        <v>06.12</v>
      </c>
      <c r="I142" s="100"/>
      <c r="J142" s="91"/>
      <c r="K142" s="92" t="s">
        <v>121</v>
      </c>
      <c r="L142" s="92"/>
      <c r="M142" s="91"/>
      <c r="N142" s="92" t="s">
        <v>125</v>
      </c>
      <c r="O142" s="99"/>
      <c r="P142" s="93"/>
      <c r="Q142" s="5"/>
      <c r="R142" s="5"/>
      <c r="S142" s="84"/>
      <c r="U142" s="5"/>
      <c r="V142" s="5"/>
    </row>
    <row r="143" spans="5:22" ht="36" customHeight="1" thickBot="1" x14ac:dyDescent="0.3">
      <c r="E143" s="4"/>
      <c r="G143" s="85">
        <f t="shared" si="10"/>
        <v>1</v>
      </c>
      <c r="H143" s="85" t="str">
        <f t="shared" si="9"/>
        <v>06.13</v>
      </c>
      <c r="I143" s="100"/>
      <c r="J143" s="91"/>
      <c r="K143" s="92" t="s">
        <v>121</v>
      </c>
      <c r="L143" s="92"/>
      <c r="M143" s="91"/>
      <c r="N143" s="92" t="s">
        <v>126</v>
      </c>
      <c r="O143" s="99"/>
      <c r="P143" s="93"/>
      <c r="Q143" s="5"/>
      <c r="R143" s="5"/>
      <c r="S143" s="84"/>
      <c r="U143" s="5"/>
      <c r="V143" s="5"/>
    </row>
    <row r="144" spans="5:22" ht="36" customHeight="1" thickBot="1" x14ac:dyDescent="0.3">
      <c r="E144" s="4"/>
      <c r="G144" s="85">
        <f t="shared" si="10"/>
        <v>1</v>
      </c>
      <c r="H144" s="85" t="str">
        <f t="shared" si="9"/>
        <v>06.14</v>
      </c>
      <c r="I144" s="100"/>
      <c r="J144" s="91"/>
      <c r="K144" s="92" t="s">
        <v>121</v>
      </c>
      <c r="L144" s="92"/>
      <c r="M144" s="91"/>
      <c r="N144" s="92" t="s">
        <v>127</v>
      </c>
      <c r="O144" s="99"/>
      <c r="P144" s="93"/>
      <c r="Q144" s="5"/>
      <c r="R144" s="5"/>
      <c r="S144" s="84"/>
      <c r="U144" s="5"/>
      <c r="V144" s="5"/>
    </row>
    <row r="145" spans="5:22" ht="36" customHeight="1" thickBot="1" x14ac:dyDescent="0.3">
      <c r="E145" s="4"/>
      <c r="G145" s="85">
        <f t="shared" si="10"/>
        <v>1</v>
      </c>
      <c r="H145" s="85" t="str">
        <f t="shared" si="9"/>
        <v>06.15</v>
      </c>
      <c r="I145" s="100"/>
      <c r="J145" s="91"/>
      <c r="K145" s="92" t="s">
        <v>121</v>
      </c>
      <c r="L145" s="92"/>
      <c r="M145" s="91"/>
      <c r="N145" s="92" t="s">
        <v>128</v>
      </c>
      <c r="O145" s="99"/>
      <c r="P145" s="93"/>
      <c r="Q145" s="5"/>
      <c r="R145" s="5"/>
      <c r="S145" s="84"/>
      <c r="U145" s="5"/>
      <c r="V145" s="5"/>
    </row>
    <row r="146" spans="5:22" ht="36" customHeight="1" thickBot="1" x14ac:dyDescent="0.3">
      <c r="E146" s="4"/>
      <c r="G146" s="85">
        <f t="shared" si="10"/>
        <v>1</v>
      </c>
      <c r="H146" s="85" t="str">
        <f t="shared" si="9"/>
        <v>06.16</v>
      </c>
      <c r="I146" s="100"/>
      <c r="J146" s="91"/>
      <c r="K146" s="92" t="s">
        <v>121</v>
      </c>
      <c r="L146" s="92"/>
      <c r="M146" s="91"/>
      <c r="N146" s="92" t="s">
        <v>129</v>
      </c>
      <c r="O146" s="99"/>
      <c r="P146" s="93"/>
      <c r="Q146" s="5"/>
      <c r="R146" s="5"/>
      <c r="S146" s="84"/>
      <c r="U146" s="5"/>
      <c r="V146" s="5"/>
    </row>
    <row r="147" spans="5:22" ht="36" customHeight="1" thickBot="1" x14ac:dyDescent="0.3">
      <c r="E147" s="4"/>
      <c r="G147" s="85">
        <f t="shared" si="10"/>
        <v>1</v>
      </c>
      <c r="H147" s="85" t="str">
        <f t="shared" si="9"/>
        <v>06.17</v>
      </c>
      <c r="I147" s="100"/>
      <c r="J147" s="91"/>
      <c r="K147" s="92" t="s">
        <v>121</v>
      </c>
      <c r="L147" s="92"/>
      <c r="M147" s="91"/>
      <c r="N147" s="92" t="s">
        <v>130</v>
      </c>
      <c r="O147" s="99"/>
      <c r="P147" s="93"/>
      <c r="Q147" s="5"/>
      <c r="R147" s="5"/>
      <c r="S147" s="84"/>
      <c r="U147" s="5"/>
      <c r="V147" s="5"/>
    </row>
    <row r="148" spans="5:22" ht="36" customHeight="1" thickBot="1" x14ac:dyDescent="0.3">
      <c r="E148" s="4"/>
      <c r="G148" s="85">
        <f t="shared" si="10"/>
        <v>1</v>
      </c>
      <c r="H148" s="85" t="str">
        <f t="shared" si="9"/>
        <v>06.18</v>
      </c>
      <c r="I148" s="100"/>
      <c r="J148" s="91"/>
      <c r="K148" s="92" t="s">
        <v>121</v>
      </c>
      <c r="L148" s="92"/>
      <c r="M148" s="91"/>
      <c r="N148" s="92" t="s">
        <v>131</v>
      </c>
      <c r="O148" s="99"/>
      <c r="P148" s="93"/>
      <c r="Q148" s="5"/>
      <c r="R148" s="5"/>
      <c r="S148" s="84"/>
      <c r="U148" s="5"/>
      <c r="V148" s="5"/>
    </row>
    <row r="149" spans="5:22" ht="36" customHeight="1" thickBot="1" x14ac:dyDescent="0.3">
      <c r="E149" s="4"/>
      <c r="G149" s="85">
        <f t="shared" si="10"/>
        <v>1</v>
      </c>
      <c r="H149" s="85" t="str">
        <f t="shared" si="9"/>
        <v>06.19</v>
      </c>
      <c r="I149" s="100"/>
      <c r="J149" s="91"/>
      <c r="K149" s="92" t="s">
        <v>121</v>
      </c>
      <c r="L149" s="92"/>
      <c r="M149" s="91"/>
      <c r="N149" s="92" t="s">
        <v>132</v>
      </c>
      <c r="O149" s="99"/>
      <c r="P149" s="93"/>
      <c r="Q149" s="5"/>
      <c r="R149" s="5"/>
      <c r="S149" s="84"/>
      <c r="U149" s="5"/>
      <c r="V149" s="5"/>
    </row>
    <row r="150" spans="5:22" ht="36" customHeight="1" thickBot="1" x14ac:dyDescent="0.3">
      <c r="E150" s="4"/>
      <c r="G150" s="85">
        <f t="shared" si="10"/>
        <v>1</v>
      </c>
      <c r="H150" s="85" t="str">
        <f t="shared" si="9"/>
        <v>06.20</v>
      </c>
      <c r="I150" s="100"/>
      <c r="J150" s="91"/>
      <c r="K150" s="92" t="s">
        <v>121</v>
      </c>
      <c r="L150" s="92"/>
      <c r="M150" s="91"/>
      <c r="N150" s="92" t="s">
        <v>133</v>
      </c>
      <c r="O150" s="99"/>
      <c r="P150" s="93"/>
      <c r="Q150" s="5"/>
      <c r="R150" s="5"/>
      <c r="S150" s="84"/>
      <c r="U150" s="5"/>
      <c r="V150" s="5"/>
    </row>
    <row r="151" spans="5:22" ht="36" customHeight="1" thickBot="1" x14ac:dyDescent="0.3">
      <c r="E151" s="4"/>
      <c r="G151" s="85">
        <f t="shared" si="10"/>
        <v>1</v>
      </c>
      <c r="H151" s="85" t="str">
        <f t="shared" si="9"/>
        <v>06.21</v>
      </c>
      <c r="I151" s="100"/>
      <c r="J151" s="91"/>
      <c r="K151" s="92" t="s">
        <v>121</v>
      </c>
      <c r="L151" s="92"/>
      <c r="M151" s="91"/>
      <c r="N151" s="92" t="s">
        <v>134</v>
      </c>
      <c r="O151" s="99"/>
      <c r="P151" s="93"/>
      <c r="Q151" s="5"/>
      <c r="R151" s="5"/>
      <c r="S151" s="84"/>
      <c r="U151" s="5"/>
      <c r="V151" s="5"/>
    </row>
    <row r="152" spans="5:22" ht="36" customHeight="1" thickBot="1" x14ac:dyDescent="0.3">
      <c r="E152" s="4"/>
      <c r="G152" s="85">
        <f t="shared" si="10"/>
        <v>1</v>
      </c>
      <c r="H152" s="85" t="str">
        <f t="shared" si="9"/>
        <v>06.22</v>
      </c>
      <c r="I152" s="100"/>
      <c r="J152" s="91"/>
      <c r="K152" s="92" t="s">
        <v>121</v>
      </c>
      <c r="L152" s="92"/>
      <c r="M152" s="91"/>
      <c r="N152" s="92" t="s">
        <v>286</v>
      </c>
      <c r="O152" s="99"/>
      <c r="P152" s="93"/>
      <c r="Q152" s="5"/>
      <c r="R152" s="5"/>
      <c r="S152" s="84"/>
      <c r="U152" s="5"/>
      <c r="V152" s="5"/>
    </row>
    <row r="153" spans="5:22" ht="36" customHeight="1" thickBot="1" x14ac:dyDescent="0.3">
      <c r="E153" s="4"/>
      <c r="G153" s="85">
        <f t="shared" si="10"/>
        <v>1</v>
      </c>
      <c r="H153" s="85" t="str">
        <f t="shared" si="9"/>
        <v>06.23</v>
      </c>
      <c r="I153" s="100"/>
      <c r="J153" s="91"/>
      <c r="K153" s="92" t="s">
        <v>121</v>
      </c>
      <c r="L153" s="92"/>
      <c r="M153" s="91"/>
      <c r="N153" s="92" t="s">
        <v>136</v>
      </c>
      <c r="O153" s="99"/>
      <c r="P153" s="93"/>
      <c r="Q153" s="5"/>
      <c r="R153" s="5"/>
      <c r="S153" s="84"/>
      <c r="U153" s="5"/>
      <c r="V153" s="5"/>
    </row>
    <row r="154" spans="5:22" ht="36" customHeight="1" thickBot="1" x14ac:dyDescent="0.3">
      <c r="E154" s="4"/>
      <c r="G154" s="85">
        <f t="shared" si="10"/>
        <v>1</v>
      </c>
      <c r="H154" s="85" t="str">
        <f t="shared" si="9"/>
        <v>06.24</v>
      </c>
      <c r="I154" s="100"/>
      <c r="J154" s="91"/>
      <c r="K154" s="92" t="s">
        <v>121</v>
      </c>
      <c r="L154" s="92"/>
      <c r="M154" s="91"/>
      <c r="N154" s="92" t="s">
        <v>137</v>
      </c>
      <c r="O154" s="99"/>
      <c r="P154" s="93"/>
      <c r="Q154" s="5"/>
      <c r="R154" s="5"/>
      <c r="S154" s="84"/>
      <c r="U154" s="5"/>
      <c r="V154" s="5"/>
    </row>
    <row r="155" spans="5:22" ht="36" customHeight="1" thickBot="1" x14ac:dyDescent="0.3">
      <c r="E155" s="4"/>
      <c r="G155" s="85">
        <f t="shared" si="10"/>
        <v>1</v>
      </c>
      <c r="H155" s="85" t="str">
        <f t="shared" si="9"/>
        <v>06.25</v>
      </c>
      <c r="I155" s="100"/>
      <c r="J155" s="91"/>
      <c r="K155" s="92" t="s">
        <v>121</v>
      </c>
      <c r="L155" s="92"/>
      <c r="M155" s="91"/>
      <c r="N155" s="92" t="s">
        <v>138</v>
      </c>
      <c r="O155" s="99"/>
      <c r="P155" s="93"/>
      <c r="Q155" s="5"/>
      <c r="R155" s="5"/>
      <c r="S155" s="84"/>
      <c r="U155" s="5"/>
      <c r="V155" s="5"/>
    </row>
    <row r="156" spans="5:22" ht="36" customHeight="1" thickBot="1" x14ac:dyDescent="0.3">
      <c r="E156" s="4"/>
      <c r="G156" s="85">
        <f t="shared" si="10"/>
        <v>1</v>
      </c>
      <c r="H156" s="85" t="str">
        <f t="shared" ref="H156:H207" si="11">TEXT(INDEX($A$2:$A$27,MATCH(K156,$K$2:$K$27,0)),"00")&amp;"."&amp;TEXT(INDEX($A$2:$A$27,MATCH(N156,$K$2:$K$27,0)),"00")</f>
        <v>06.26</v>
      </c>
      <c r="I156" s="100"/>
      <c r="J156" s="91"/>
      <c r="K156" s="92" t="s">
        <v>121</v>
      </c>
      <c r="L156" s="92"/>
      <c r="M156" s="91"/>
      <c r="N156" s="92" t="s">
        <v>139</v>
      </c>
      <c r="O156" s="99"/>
      <c r="P156" s="93"/>
      <c r="Q156" s="5"/>
      <c r="R156" s="5"/>
      <c r="S156" s="84"/>
      <c r="U156" s="5"/>
      <c r="V156" s="5"/>
    </row>
    <row r="157" spans="5:22" ht="36" customHeight="1" thickBot="1" x14ac:dyDescent="0.3">
      <c r="E157" s="4"/>
      <c r="G157" s="85">
        <f t="shared" si="10"/>
        <v>1</v>
      </c>
      <c r="H157" s="85" t="str">
        <f t="shared" si="11"/>
        <v>07.10</v>
      </c>
      <c r="I157" s="100"/>
      <c r="J157" s="91"/>
      <c r="K157" s="92" t="s">
        <v>88</v>
      </c>
      <c r="L157" s="92"/>
      <c r="M157" s="91"/>
      <c r="N157" s="92" t="s">
        <v>124</v>
      </c>
      <c r="O157" s="99"/>
      <c r="P157" s="93"/>
      <c r="Q157" s="5"/>
      <c r="R157" s="5"/>
      <c r="S157" s="84"/>
      <c r="U157" s="5"/>
      <c r="V157" s="5"/>
    </row>
    <row r="158" spans="5:22" ht="36" customHeight="1" thickBot="1" x14ac:dyDescent="0.3">
      <c r="E158" s="4"/>
      <c r="G158" s="85">
        <f t="shared" si="10"/>
        <v>1</v>
      </c>
      <c r="H158" s="85" t="str">
        <f t="shared" si="11"/>
        <v>07.11</v>
      </c>
      <c r="I158" s="100"/>
      <c r="J158" s="91"/>
      <c r="K158" s="92" t="s">
        <v>88</v>
      </c>
      <c r="L158" s="92"/>
      <c r="M158" s="91"/>
      <c r="N158" s="92" t="s">
        <v>95</v>
      </c>
      <c r="O158" s="99"/>
      <c r="P158" s="93"/>
      <c r="Q158" s="5"/>
      <c r="R158" s="5"/>
      <c r="S158" s="84"/>
      <c r="U158" s="5"/>
      <c r="V158" s="5"/>
    </row>
    <row r="159" spans="5:22" ht="36" customHeight="1" thickBot="1" x14ac:dyDescent="0.3">
      <c r="E159" s="4"/>
      <c r="G159" s="85">
        <f t="shared" si="10"/>
        <v>1</v>
      </c>
      <c r="H159" s="85" t="str">
        <f t="shared" si="11"/>
        <v>07.12</v>
      </c>
      <c r="I159" s="100"/>
      <c r="J159" s="91"/>
      <c r="K159" s="92" t="s">
        <v>88</v>
      </c>
      <c r="L159" s="92"/>
      <c r="M159" s="91"/>
      <c r="N159" s="92" t="s">
        <v>125</v>
      </c>
      <c r="O159" s="99"/>
      <c r="P159" s="93"/>
      <c r="Q159" s="5"/>
      <c r="R159" s="5"/>
      <c r="S159" s="84"/>
      <c r="U159" s="5"/>
      <c r="V159" s="5"/>
    </row>
    <row r="160" spans="5:22" ht="36" customHeight="1" thickBot="1" x14ac:dyDescent="0.3">
      <c r="E160" s="4"/>
      <c r="G160" s="85">
        <f t="shared" si="10"/>
        <v>1</v>
      </c>
      <c r="H160" s="85" t="str">
        <f t="shared" si="11"/>
        <v>07.13</v>
      </c>
      <c r="I160" s="100"/>
      <c r="J160" s="91"/>
      <c r="K160" s="92" t="s">
        <v>88</v>
      </c>
      <c r="L160" s="92"/>
      <c r="M160" s="91"/>
      <c r="N160" s="92" t="s">
        <v>126</v>
      </c>
      <c r="O160" s="99"/>
      <c r="P160" s="93"/>
      <c r="Q160" s="5"/>
      <c r="R160" s="5"/>
      <c r="S160" s="84"/>
      <c r="U160" s="5"/>
      <c r="V160" s="5"/>
    </row>
    <row r="161" spans="5:22" ht="36" customHeight="1" thickBot="1" x14ac:dyDescent="0.3">
      <c r="E161" s="4"/>
      <c r="G161" s="85">
        <f t="shared" si="10"/>
        <v>1</v>
      </c>
      <c r="H161" s="85" t="str">
        <f t="shared" si="11"/>
        <v>07.14</v>
      </c>
      <c r="I161" s="100"/>
      <c r="J161" s="91"/>
      <c r="K161" s="92" t="s">
        <v>88</v>
      </c>
      <c r="L161" s="92"/>
      <c r="M161" s="91"/>
      <c r="N161" s="92" t="s">
        <v>127</v>
      </c>
      <c r="O161" s="99"/>
      <c r="P161" s="93"/>
      <c r="Q161" s="5"/>
      <c r="R161" s="5"/>
      <c r="S161" s="84"/>
      <c r="U161" s="5"/>
      <c r="V161" s="5"/>
    </row>
    <row r="162" spans="5:22" ht="36" customHeight="1" thickBot="1" x14ac:dyDescent="0.3">
      <c r="E162" s="4"/>
      <c r="G162" s="85">
        <f t="shared" si="10"/>
        <v>1</v>
      </c>
      <c r="H162" s="85" t="str">
        <f t="shared" si="11"/>
        <v>07.15</v>
      </c>
      <c r="I162" s="100"/>
      <c r="J162" s="91"/>
      <c r="K162" s="92" t="s">
        <v>88</v>
      </c>
      <c r="L162" s="92"/>
      <c r="M162" s="91"/>
      <c r="N162" s="92" t="s">
        <v>128</v>
      </c>
      <c r="O162" s="99"/>
      <c r="P162" s="93"/>
      <c r="Q162" s="5"/>
      <c r="R162" s="5"/>
      <c r="S162" s="84"/>
      <c r="U162" s="5"/>
      <c r="V162" s="5"/>
    </row>
    <row r="163" spans="5:22" ht="36" customHeight="1" thickBot="1" x14ac:dyDescent="0.3">
      <c r="E163" s="4"/>
      <c r="G163" s="85">
        <f t="shared" si="10"/>
        <v>1</v>
      </c>
      <c r="H163" s="85" t="str">
        <f t="shared" si="11"/>
        <v>07.16</v>
      </c>
      <c r="I163" s="100"/>
      <c r="J163" s="91"/>
      <c r="K163" s="92" t="s">
        <v>88</v>
      </c>
      <c r="L163" s="92"/>
      <c r="M163" s="91"/>
      <c r="N163" s="92" t="s">
        <v>129</v>
      </c>
      <c r="O163" s="99"/>
      <c r="P163" s="93"/>
      <c r="Q163" s="5"/>
      <c r="R163" s="5"/>
      <c r="S163" s="84"/>
      <c r="U163" s="5"/>
      <c r="V163" s="5"/>
    </row>
    <row r="164" spans="5:22" ht="36" customHeight="1" thickBot="1" x14ac:dyDescent="0.3">
      <c r="E164" s="4"/>
      <c r="G164" s="85">
        <f t="shared" si="10"/>
        <v>1</v>
      </c>
      <c r="H164" s="85" t="str">
        <f t="shared" si="11"/>
        <v>07.17</v>
      </c>
      <c r="I164" s="100"/>
      <c r="J164" s="91"/>
      <c r="K164" s="92" t="s">
        <v>88</v>
      </c>
      <c r="L164" s="92"/>
      <c r="M164" s="91"/>
      <c r="N164" s="92" t="s">
        <v>130</v>
      </c>
      <c r="O164" s="99"/>
      <c r="P164" s="93"/>
      <c r="Q164" s="5"/>
      <c r="R164" s="5"/>
      <c r="S164" s="84"/>
      <c r="U164" s="5"/>
      <c r="V164" s="5"/>
    </row>
    <row r="165" spans="5:22" ht="36" customHeight="1" thickBot="1" x14ac:dyDescent="0.3">
      <c r="E165" s="4"/>
      <c r="G165" s="85">
        <f t="shared" si="10"/>
        <v>1</v>
      </c>
      <c r="H165" s="85" t="str">
        <f t="shared" si="11"/>
        <v>07.18</v>
      </c>
      <c r="I165" s="100"/>
      <c r="J165" s="91"/>
      <c r="K165" s="92" t="s">
        <v>88</v>
      </c>
      <c r="L165" s="92"/>
      <c r="M165" s="91"/>
      <c r="N165" s="92" t="s">
        <v>131</v>
      </c>
      <c r="O165" s="99"/>
      <c r="P165" s="93"/>
      <c r="Q165" s="5"/>
      <c r="R165" s="5"/>
      <c r="S165" s="84"/>
      <c r="U165" s="5"/>
      <c r="V165" s="5"/>
    </row>
    <row r="166" spans="5:22" ht="36" customHeight="1" thickBot="1" x14ac:dyDescent="0.3">
      <c r="E166" s="4"/>
      <c r="G166" s="85">
        <f t="shared" si="10"/>
        <v>1</v>
      </c>
      <c r="H166" s="85" t="str">
        <f t="shared" si="11"/>
        <v>07.19</v>
      </c>
      <c r="I166" s="100"/>
      <c r="J166" s="91"/>
      <c r="K166" s="92" t="s">
        <v>88</v>
      </c>
      <c r="L166" s="92"/>
      <c r="M166" s="91"/>
      <c r="N166" s="92" t="s">
        <v>132</v>
      </c>
      <c r="O166" s="99"/>
      <c r="P166" s="93"/>
      <c r="Q166" s="5"/>
      <c r="R166" s="5"/>
      <c r="S166" s="84"/>
      <c r="U166" s="5"/>
      <c r="V166" s="5"/>
    </row>
    <row r="167" spans="5:22" ht="36" customHeight="1" thickBot="1" x14ac:dyDescent="0.3">
      <c r="E167" s="4"/>
      <c r="G167" s="85">
        <f t="shared" si="10"/>
        <v>1</v>
      </c>
      <c r="H167" s="85" t="str">
        <f t="shared" si="11"/>
        <v>07.20</v>
      </c>
      <c r="I167" s="100"/>
      <c r="J167" s="91"/>
      <c r="K167" s="92" t="s">
        <v>88</v>
      </c>
      <c r="L167" s="92"/>
      <c r="M167" s="91"/>
      <c r="N167" s="92" t="s">
        <v>133</v>
      </c>
      <c r="O167" s="99"/>
      <c r="P167" s="93"/>
      <c r="Q167" s="5"/>
      <c r="R167" s="5"/>
      <c r="S167" s="84"/>
      <c r="U167" s="5"/>
      <c r="V167" s="5"/>
    </row>
    <row r="168" spans="5:22" ht="36" customHeight="1" thickBot="1" x14ac:dyDescent="0.3">
      <c r="E168" s="4"/>
      <c r="G168" s="85">
        <f t="shared" si="10"/>
        <v>1</v>
      </c>
      <c r="H168" s="85" t="str">
        <f t="shared" si="11"/>
        <v>07.21</v>
      </c>
      <c r="I168" s="100"/>
      <c r="J168" s="91"/>
      <c r="K168" s="92" t="s">
        <v>88</v>
      </c>
      <c r="L168" s="92"/>
      <c r="M168" s="91"/>
      <c r="N168" s="92" t="s">
        <v>134</v>
      </c>
      <c r="O168" s="99"/>
      <c r="P168" s="93"/>
      <c r="Q168" s="5"/>
      <c r="R168" s="5"/>
      <c r="S168" s="84"/>
      <c r="U168" s="5"/>
      <c r="V168" s="5"/>
    </row>
    <row r="169" spans="5:22" ht="36" customHeight="1" thickBot="1" x14ac:dyDescent="0.3">
      <c r="E169" s="4"/>
      <c r="G169" s="85">
        <f t="shared" si="10"/>
        <v>1</v>
      </c>
      <c r="H169" s="85" t="str">
        <f t="shared" si="11"/>
        <v>07.22</v>
      </c>
      <c r="I169" s="100"/>
      <c r="J169" s="91"/>
      <c r="K169" s="92" t="s">
        <v>88</v>
      </c>
      <c r="L169" s="92"/>
      <c r="M169" s="91"/>
      <c r="N169" s="92" t="s">
        <v>286</v>
      </c>
      <c r="O169" s="99"/>
      <c r="P169" s="93"/>
      <c r="Q169" s="5"/>
      <c r="R169" s="5"/>
      <c r="S169" s="84"/>
      <c r="U169" s="5"/>
      <c r="V169" s="5"/>
    </row>
    <row r="170" spans="5:22" ht="36" customHeight="1" thickBot="1" x14ac:dyDescent="0.3">
      <c r="E170" s="4"/>
      <c r="G170" s="85">
        <f t="shared" si="10"/>
        <v>1</v>
      </c>
      <c r="H170" s="85" t="str">
        <f t="shared" si="11"/>
        <v>07.23</v>
      </c>
      <c r="I170" s="100"/>
      <c r="J170" s="91"/>
      <c r="K170" s="92" t="s">
        <v>88</v>
      </c>
      <c r="L170" s="92"/>
      <c r="M170" s="91"/>
      <c r="N170" s="92" t="s">
        <v>136</v>
      </c>
      <c r="O170" s="99"/>
      <c r="P170" s="93"/>
      <c r="Q170" s="5"/>
      <c r="R170" s="5"/>
      <c r="S170" s="84"/>
      <c r="U170" s="5"/>
      <c r="V170" s="5"/>
    </row>
    <row r="171" spans="5:22" ht="36" customHeight="1" thickBot="1" x14ac:dyDescent="0.3">
      <c r="E171" s="4"/>
      <c r="G171" s="85">
        <f t="shared" si="10"/>
        <v>1</v>
      </c>
      <c r="H171" s="85" t="str">
        <f t="shared" si="11"/>
        <v>07.24</v>
      </c>
      <c r="I171" s="100"/>
      <c r="J171" s="91"/>
      <c r="K171" s="92" t="s">
        <v>88</v>
      </c>
      <c r="L171" s="92"/>
      <c r="M171" s="91"/>
      <c r="N171" s="92" t="s">
        <v>137</v>
      </c>
      <c r="O171" s="99"/>
      <c r="P171" s="93"/>
      <c r="Q171" s="5"/>
      <c r="R171" s="5"/>
      <c r="S171" s="84"/>
      <c r="U171" s="5"/>
      <c r="V171" s="5"/>
    </row>
    <row r="172" spans="5:22" ht="36" customHeight="1" thickBot="1" x14ac:dyDescent="0.3">
      <c r="E172" s="4"/>
      <c r="G172" s="85">
        <f t="shared" si="10"/>
        <v>1</v>
      </c>
      <c r="H172" s="85" t="str">
        <f t="shared" si="11"/>
        <v>07.25</v>
      </c>
      <c r="I172" s="100"/>
      <c r="J172" s="91"/>
      <c r="K172" s="92" t="s">
        <v>88</v>
      </c>
      <c r="L172" s="92"/>
      <c r="M172" s="91"/>
      <c r="N172" s="92" t="s">
        <v>138</v>
      </c>
      <c r="O172" s="99"/>
      <c r="P172" s="93"/>
      <c r="Q172" s="5"/>
      <c r="R172" s="5"/>
      <c r="S172" s="84"/>
      <c r="U172" s="5"/>
      <c r="V172" s="5"/>
    </row>
    <row r="173" spans="5:22" ht="36" customHeight="1" thickBot="1" x14ac:dyDescent="0.3">
      <c r="E173" s="4"/>
      <c r="G173" s="85">
        <f t="shared" si="10"/>
        <v>1</v>
      </c>
      <c r="H173" s="85" t="str">
        <f t="shared" si="11"/>
        <v>07.26</v>
      </c>
      <c r="I173" s="100"/>
      <c r="J173" s="91"/>
      <c r="K173" s="92" t="s">
        <v>88</v>
      </c>
      <c r="L173" s="92"/>
      <c r="M173" s="91"/>
      <c r="N173" s="92" t="s">
        <v>139</v>
      </c>
      <c r="O173" s="99"/>
      <c r="P173" s="93"/>
      <c r="Q173" s="5"/>
      <c r="R173" s="5"/>
      <c r="S173" s="84"/>
      <c r="U173" s="5"/>
      <c r="V173" s="5"/>
    </row>
    <row r="174" spans="5:22" ht="36" customHeight="1" thickBot="1" x14ac:dyDescent="0.3">
      <c r="E174" s="4"/>
      <c r="G174" s="85">
        <f t="shared" si="10"/>
        <v>1</v>
      </c>
      <c r="H174" s="85" t="str">
        <f t="shared" si="11"/>
        <v>08.11</v>
      </c>
      <c r="I174" s="100"/>
      <c r="J174" s="91"/>
      <c r="K174" s="92" t="s">
        <v>122</v>
      </c>
      <c r="L174" s="92"/>
      <c r="M174" s="91"/>
      <c r="N174" s="92" t="s">
        <v>95</v>
      </c>
      <c r="O174" s="99"/>
      <c r="P174" s="93"/>
      <c r="Q174" s="5"/>
      <c r="R174" s="5"/>
      <c r="S174" s="84"/>
      <c r="U174" s="5"/>
      <c r="V174" s="5"/>
    </row>
    <row r="175" spans="5:22" ht="36" customHeight="1" thickBot="1" x14ac:dyDescent="0.3">
      <c r="E175" s="4"/>
      <c r="G175" s="85">
        <f t="shared" si="10"/>
        <v>1</v>
      </c>
      <c r="H175" s="85" t="str">
        <f t="shared" si="11"/>
        <v>08.12</v>
      </c>
      <c r="I175" s="100"/>
      <c r="J175" s="91"/>
      <c r="K175" s="92" t="s">
        <v>122</v>
      </c>
      <c r="L175" s="92"/>
      <c r="M175" s="91"/>
      <c r="N175" s="92" t="s">
        <v>125</v>
      </c>
      <c r="O175" s="99"/>
      <c r="P175" s="93"/>
      <c r="Q175" s="5"/>
      <c r="R175" s="5"/>
      <c r="S175" s="84"/>
      <c r="U175" s="5"/>
      <c r="V175" s="5"/>
    </row>
    <row r="176" spans="5:22" ht="36" customHeight="1" thickBot="1" x14ac:dyDescent="0.3">
      <c r="E176" s="4"/>
      <c r="G176" s="85">
        <f t="shared" si="10"/>
        <v>1</v>
      </c>
      <c r="H176" s="85" t="str">
        <f t="shared" si="11"/>
        <v>08.13</v>
      </c>
      <c r="I176" s="100"/>
      <c r="J176" s="91"/>
      <c r="K176" s="92" t="s">
        <v>122</v>
      </c>
      <c r="L176" s="92"/>
      <c r="M176" s="91"/>
      <c r="N176" s="92" t="s">
        <v>126</v>
      </c>
      <c r="O176" s="99"/>
      <c r="P176" s="93"/>
      <c r="Q176" s="5"/>
      <c r="R176" s="5"/>
      <c r="S176" s="84"/>
      <c r="U176" s="5"/>
      <c r="V176" s="5"/>
    </row>
    <row r="177" spans="5:22" ht="36" customHeight="1" thickBot="1" x14ac:dyDescent="0.3">
      <c r="E177" s="4"/>
      <c r="G177" s="85">
        <f t="shared" si="10"/>
        <v>1</v>
      </c>
      <c r="H177" s="85" t="str">
        <f t="shared" si="11"/>
        <v>08.14</v>
      </c>
      <c r="I177" s="100"/>
      <c r="J177" s="91"/>
      <c r="K177" s="92" t="s">
        <v>122</v>
      </c>
      <c r="L177" s="92"/>
      <c r="M177" s="91"/>
      <c r="N177" s="92" t="s">
        <v>127</v>
      </c>
      <c r="O177" s="99"/>
      <c r="P177" s="93"/>
      <c r="Q177" s="5"/>
      <c r="R177" s="5"/>
      <c r="S177" s="84"/>
      <c r="U177" s="5"/>
      <c r="V177" s="5"/>
    </row>
    <row r="178" spans="5:22" ht="36" customHeight="1" thickBot="1" x14ac:dyDescent="0.3">
      <c r="E178" s="4"/>
      <c r="G178" s="85">
        <f t="shared" si="10"/>
        <v>1</v>
      </c>
      <c r="H178" s="85" t="str">
        <f t="shared" si="11"/>
        <v>08.15</v>
      </c>
      <c r="I178" s="100"/>
      <c r="J178" s="91"/>
      <c r="K178" s="92" t="s">
        <v>122</v>
      </c>
      <c r="L178" s="92"/>
      <c r="M178" s="91"/>
      <c r="N178" s="92" t="s">
        <v>128</v>
      </c>
      <c r="O178" s="99"/>
      <c r="P178" s="93"/>
      <c r="Q178" s="5"/>
      <c r="R178" s="5"/>
      <c r="S178" s="84"/>
      <c r="U178" s="5"/>
      <c r="V178" s="5"/>
    </row>
    <row r="179" spans="5:22" ht="36" customHeight="1" thickBot="1" x14ac:dyDescent="0.3">
      <c r="E179" s="4"/>
      <c r="G179" s="85">
        <f t="shared" si="10"/>
        <v>1</v>
      </c>
      <c r="H179" s="85" t="str">
        <f t="shared" si="11"/>
        <v>08.16</v>
      </c>
      <c r="I179" s="100"/>
      <c r="J179" s="91"/>
      <c r="K179" s="92" t="s">
        <v>122</v>
      </c>
      <c r="L179" s="92"/>
      <c r="M179" s="91"/>
      <c r="N179" s="92" t="s">
        <v>129</v>
      </c>
      <c r="O179" s="99"/>
      <c r="P179" s="93"/>
      <c r="Q179" s="5"/>
      <c r="R179" s="5"/>
      <c r="S179" s="84"/>
      <c r="U179" s="5"/>
      <c r="V179" s="5"/>
    </row>
    <row r="180" spans="5:22" ht="36" customHeight="1" thickBot="1" x14ac:dyDescent="0.3">
      <c r="E180" s="4"/>
      <c r="G180" s="85">
        <f t="shared" si="10"/>
        <v>1</v>
      </c>
      <c r="H180" s="85" t="str">
        <f t="shared" si="11"/>
        <v>08.17</v>
      </c>
      <c r="I180" s="100"/>
      <c r="J180" s="91"/>
      <c r="K180" s="92" t="s">
        <v>122</v>
      </c>
      <c r="L180" s="92"/>
      <c r="M180" s="91"/>
      <c r="N180" s="92" t="s">
        <v>130</v>
      </c>
      <c r="O180" s="99"/>
      <c r="P180" s="93"/>
      <c r="Q180" s="5"/>
      <c r="R180" s="5"/>
      <c r="S180" s="84"/>
      <c r="U180" s="5"/>
      <c r="V180" s="5"/>
    </row>
    <row r="181" spans="5:22" ht="36" customHeight="1" thickBot="1" x14ac:dyDescent="0.3">
      <c r="E181" s="4"/>
      <c r="G181" s="85">
        <f t="shared" si="10"/>
        <v>1</v>
      </c>
      <c r="H181" s="85" t="str">
        <f t="shared" si="11"/>
        <v>08.18</v>
      </c>
      <c r="I181" s="100"/>
      <c r="J181" s="91"/>
      <c r="K181" s="92" t="s">
        <v>122</v>
      </c>
      <c r="L181" s="92"/>
      <c r="M181" s="91"/>
      <c r="N181" s="92" t="s">
        <v>131</v>
      </c>
      <c r="O181" s="99"/>
      <c r="P181" s="93"/>
      <c r="Q181" s="5"/>
      <c r="R181" s="5"/>
      <c r="S181" s="84"/>
      <c r="U181" s="5"/>
      <c r="V181" s="5"/>
    </row>
    <row r="182" spans="5:22" ht="36" customHeight="1" thickBot="1" x14ac:dyDescent="0.3">
      <c r="E182" s="4"/>
      <c r="G182" s="85">
        <f t="shared" si="10"/>
        <v>1</v>
      </c>
      <c r="H182" s="85" t="str">
        <f t="shared" si="11"/>
        <v>08.19</v>
      </c>
      <c r="I182" s="100"/>
      <c r="J182" s="91"/>
      <c r="K182" s="92" t="s">
        <v>122</v>
      </c>
      <c r="L182" s="92"/>
      <c r="M182" s="91"/>
      <c r="N182" s="92" t="s">
        <v>132</v>
      </c>
      <c r="O182" s="99"/>
      <c r="P182" s="93"/>
      <c r="Q182" s="5"/>
      <c r="R182" s="5"/>
      <c r="S182" s="84"/>
      <c r="U182" s="5"/>
      <c r="V182" s="5"/>
    </row>
    <row r="183" spans="5:22" ht="36" customHeight="1" thickBot="1" x14ac:dyDescent="0.3">
      <c r="E183" s="4"/>
      <c r="G183" s="85">
        <f t="shared" si="10"/>
        <v>1</v>
      </c>
      <c r="H183" s="85" t="str">
        <f t="shared" si="11"/>
        <v>08.20</v>
      </c>
      <c r="I183" s="100"/>
      <c r="J183" s="91"/>
      <c r="K183" s="92" t="s">
        <v>122</v>
      </c>
      <c r="L183" s="92"/>
      <c r="M183" s="91"/>
      <c r="N183" s="92" t="s">
        <v>133</v>
      </c>
      <c r="O183" s="99"/>
      <c r="P183" s="93"/>
      <c r="Q183" s="5"/>
      <c r="R183" s="5"/>
      <c r="S183" s="84"/>
      <c r="U183" s="5"/>
      <c r="V183" s="5"/>
    </row>
    <row r="184" spans="5:22" ht="36" customHeight="1" thickBot="1" x14ac:dyDescent="0.3">
      <c r="E184" s="4"/>
      <c r="G184" s="85">
        <f t="shared" si="10"/>
        <v>1</v>
      </c>
      <c r="H184" s="85" t="str">
        <f t="shared" si="11"/>
        <v>08.21</v>
      </c>
      <c r="I184" s="100"/>
      <c r="J184" s="91"/>
      <c r="K184" s="92" t="s">
        <v>122</v>
      </c>
      <c r="L184" s="92"/>
      <c r="M184" s="91"/>
      <c r="N184" s="92" t="s">
        <v>134</v>
      </c>
      <c r="O184" s="99"/>
      <c r="P184" s="93"/>
      <c r="Q184" s="5"/>
      <c r="R184" s="5"/>
      <c r="S184" s="84"/>
      <c r="U184" s="5"/>
      <c r="V184" s="5"/>
    </row>
    <row r="185" spans="5:22" ht="36" customHeight="1" thickBot="1" x14ac:dyDescent="0.3">
      <c r="E185" s="4"/>
      <c r="G185" s="85">
        <f t="shared" si="10"/>
        <v>1</v>
      </c>
      <c r="H185" s="85" t="str">
        <f t="shared" si="11"/>
        <v>08.22</v>
      </c>
      <c r="I185" s="100"/>
      <c r="J185" s="91"/>
      <c r="K185" s="92" t="s">
        <v>122</v>
      </c>
      <c r="L185" s="92"/>
      <c r="M185" s="91"/>
      <c r="N185" s="92" t="s">
        <v>286</v>
      </c>
      <c r="O185" s="99"/>
      <c r="P185" s="93"/>
      <c r="Q185" s="5"/>
      <c r="R185" s="5"/>
      <c r="S185" s="84"/>
      <c r="U185" s="5"/>
      <c r="V185" s="5"/>
    </row>
    <row r="186" spans="5:22" ht="36" customHeight="1" thickBot="1" x14ac:dyDescent="0.3">
      <c r="E186" s="4"/>
      <c r="G186" s="85">
        <f t="shared" si="10"/>
        <v>1</v>
      </c>
      <c r="H186" s="85" t="str">
        <f t="shared" si="11"/>
        <v>08.23</v>
      </c>
      <c r="I186" s="100"/>
      <c r="J186" s="91"/>
      <c r="K186" s="92" t="s">
        <v>122</v>
      </c>
      <c r="L186" s="92"/>
      <c r="M186" s="91"/>
      <c r="N186" s="92" t="s">
        <v>136</v>
      </c>
      <c r="O186" s="99"/>
      <c r="P186" s="93"/>
      <c r="Q186" s="5"/>
      <c r="R186" s="5"/>
      <c r="S186" s="84"/>
      <c r="U186" s="5"/>
      <c r="V186" s="5"/>
    </row>
    <row r="187" spans="5:22" ht="36" customHeight="1" thickBot="1" x14ac:dyDescent="0.3">
      <c r="E187" s="4"/>
      <c r="G187" s="85">
        <f t="shared" ref="G187:G246" si="12">IF(OR(
ISNUMBER(SEARCH($H187,$F$2)),ISNUMBER(SEARCH($H187,$F$3)),ISNUMBER(SEARCH($H187,$F$4)),ISNUMBER(SEARCH($H187,$F$5)),ISNUMBER(SEARCH($H187,$F$6)),ISNUMBER(SEARCH($H187,$F$7)),ISNUMBER(SEARCH($H187,$F$8))),"",1)</f>
        <v>1</v>
      </c>
      <c r="H187" s="85" t="str">
        <f t="shared" si="11"/>
        <v>08.24</v>
      </c>
      <c r="I187" s="100"/>
      <c r="J187" s="91"/>
      <c r="K187" s="92" t="s">
        <v>122</v>
      </c>
      <c r="L187" s="92"/>
      <c r="M187" s="91"/>
      <c r="N187" s="92" t="s">
        <v>137</v>
      </c>
      <c r="O187" s="99"/>
      <c r="P187" s="93"/>
      <c r="Q187" s="5"/>
      <c r="R187" s="5"/>
      <c r="S187" s="84"/>
      <c r="U187" s="5"/>
      <c r="V187" s="5"/>
    </row>
    <row r="188" spans="5:22" ht="36" customHeight="1" thickBot="1" x14ac:dyDescent="0.3">
      <c r="E188" s="4"/>
      <c r="G188" s="85">
        <f t="shared" si="12"/>
        <v>1</v>
      </c>
      <c r="H188" s="85" t="str">
        <f t="shared" si="11"/>
        <v>08.25</v>
      </c>
      <c r="I188" s="100"/>
      <c r="J188" s="91"/>
      <c r="K188" s="92" t="s">
        <v>122</v>
      </c>
      <c r="L188" s="92"/>
      <c r="M188" s="91"/>
      <c r="N188" s="92" t="s">
        <v>138</v>
      </c>
      <c r="O188" s="99"/>
      <c r="P188" s="93"/>
      <c r="Q188" s="5"/>
      <c r="R188" s="5"/>
      <c r="S188" s="84"/>
      <c r="U188" s="5"/>
      <c r="V188" s="5"/>
    </row>
    <row r="189" spans="5:22" ht="36" customHeight="1" thickBot="1" x14ac:dyDescent="0.3">
      <c r="E189" s="4"/>
      <c r="G189" s="85">
        <f t="shared" si="12"/>
        <v>1</v>
      </c>
      <c r="H189" s="85" t="str">
        <f t="shared" si="11"/>
        <v>08.26</v>
      </c>
      <c r="I189" s="100"/>
      <c r="J189" s="91"/>
      <c r="K189" s="92" t="s">
        <v>122</v>
      </c>
      <c r="L189" s="92"/>
      <c r="M189" s="91"/>
      <c r="N189" s="92" t="s">
        <v>139</v>
      </c>
      <c r="O189" s="99"/>
      <c r="P189" s="93"/>
      <c r="Q189" s="5"/>
      <c r="R189" s="5"/>
      <c r="S189" s="84"/>
      <c r="U189" s="5"/>
      <c r="V189" s="5"/>
    </row>
    <row r="190" spans="5:22" ht="36" customHeight="1" thickBot="1" x14ac:dyDescent="0.3">
      <c r="E190" s="4"/>
      <c r="G190" s="85">
        <f t="shared" si="12"/>
        <v>1</v>
      </c>
      <c r="H190" s="85" t="str">
        <f t="shared" si="11"/>
        <v>09.11</v>
      </c>
      <c r="I190" s="100"/>
      <c r="J190" s="91"/>
      <c r="K190" s="92" t="s">
        <v>123</v>
      </c>
      <c r="L190" s="92"/>
      <c r="M190" s="91"/>
      <c r="N190" s="92" t="s">
        <v>95</v>
      </c>
      <c r="O190" s="99"/>
      <c r="P190" s="93"/>
      <c r="Q190" s="5"/>
      <c r="R190" s="5"/>
      <c r="S190" s="84"/>
      <c r="U190" s="5"/>
      <c r="V190" s="5"/>
    </row>
    <row r="191" spans="5:22" ht="36" customHeight="1" thickBot="1" x14ac:dyDescent="0.3">
      <c r="E191" s="4"/>
      <c r="G191" s="85">
        <f t="shared" si="12"/>
        <v>1</v>
      </c>
      <c r="H191" s="85" t="str">
        <f t="shared" si="11"/>
        <v>09.12</v>
      </c>
      <c r="I191" s="100"/>
      <c r="J191" s="91"/>
      <c r="K191" s="92" t="s">
        <v>123</v>
      </c>
      <c r="L191" s="92"/>
      <c r="M191" s="91"/>
      <c r="N191" s="92" t="s">
        <v>125</v>
      </c>
      <c r="O191" s="99"/>
      <c r="P191" s="93"/>
      <c r="Q191" s="5"/>
      <c r="R191" s="5"/>
      <c r="S191" s="84"/>
      <c r="U191" s="5"/>
      <c r="V191" s="5"/>
    </row>
    <row r="192" spans="5:22" ht="36" customHeight="1" thickBot="1" x14ac:dyDescent="0.3">
      <c r="E192" s="4"/>
      <c r="G192" s="85">
        <f t="shared" si="12"/>
        <v>1</v>
      </c>
      <c r="H192" s="85" t="str">
        <f t="shared" si="11"/>
        <v>09.13</v>
      </c>
      <c r="I192" s="100"/>
      <c r="J192" s="91"/>
      <c r="K192" s="92" t="s">
        <v>123</v>
      </c>
      <c r="L192" s="92"/>
      <c r="M192" s="91"/>
      <c r="N192" s="92" t="s">
        <v>126</v>
      </c>
      <c r="O192" s="99"/>
      <c r="P192" s="93"/>
      <c r="Q192" s="5"/>
      <c r="R192" s="5"/>
      <c r="S192" s="84"/>
      <c r="U192" s="5"/>
      <c r="V192" s="5"/>
    </row>
    <row r="193" spans="5:22" ht="36" customHeight="1" thickBot="1" x14ac:dyDescent="0.3">
      <c r="E193" s="4"/>
      <c r="G193" s="85">
        <f t="shared" si="12"/>
        <v>1</v>
      </c>
      <c r="H193" s="85" t="str">
        <f t="shared" si="11"/>
        <v>09.14</v>
      </c>
      <c r="I193" s="100"/>
      <c r="J193" s="91"/>
      <c r="K193" s="92" t="s">
        <v>123</v>
      </c>
      <c r="L193" s="92"/>
      <c r="M193" s="91"/>
      <c r="N193" s="92" t="s">
        <v>127</v>
      </c>
      <c r="O193" s="99"/>
      <c r="P193" s="93"/>
      <c r="Q193" s="5"/>
      <c r="R193" s="5"/>
      <c r="S193" s="84"/>
      <c r="U193" s="5"/>
      <c r="V193" s="5"/>
    </row>
    <row r="194" spans="5:22" ht="36" customHeight="1" thickBot="1" x14ac:dyDescent="0.3">
      <c r="E194" s="4"/>
      <c r="G194" s="85">
        <f t="shared" si="12"/>
        <v>1</v>
      </c>
      <c r="H194" s="85" t="str">
        <f t="shared" si="11"/>
        <v>09.15</v>
      </c>
      <c r="I194" s="100"/>
      <c r="J194" s="91"/>
      <c r="K194" s="92" t="s">
        <v>123</v>
      </c>
      <c r="L194" s="92"/>
      <c r="M194" s="91"/>
      <c r="N194" s="92" t="s">
        <v>128</v>
      </c>
      <c r="O194" s="99"/>
      <c r="P194" s="93"/>
      <c r="Q194" s="5"/>
      <c r="R194" s="5"/>
      <c r="S194" s="84"/>
      <c r="U194" s="5"/>
      <c r="V194" s="5"/>
    </row>
    <row r="195" spans="5:22" ht="36" customHeight="1" thickBot="1" x14ac:dyDescent="0.3">
      <c r="E195" s="4"/>
      <c r="G195" s="85">
        <f t="shared" si="12"/>
        <v>1</v>
      </c>
      <c r="H195" s="85" t="str">
        <f t="shared" si="11"/>
        <v>09.16</v>
      </c>
      <c r="I195" s="100"/>
      <c r="J195" s="91"/>
      <c r="K195" s="92" t="s">
        <v>123</v>
      </c>
      <c r="L195" s="92"/>
      <c r="M195" s="91"/>
      <c r="N195" s="92" t="s">
        <v>129</v>
      </c>
      <c r="O195" s="99"/>
      <c r="P195" s="93"/>
      <c r="Q195" s="5"/>
      <c r="R195" s="5"/>
      <c r="S195" s="84"/>
      <c r="U195" s="5"/>
      <c r="V195" s="5"/>
    </row>
    <row r="196" spans="5:22" ht="36" customHeight="1" thickBot="1" x14ac:dyDescent="0.3">
      <c r="E196" s="4"/>
      <c r="G196" s="85">
        <f t="shared" si="12"/>
        <v>1</v>
      </c>
      <c r="H196" s="85" t="str">
        <f t="shared" si="11"/>
        <v>09.17</v>
      </c>
      <c r="I196" s="100"/>
      <c r="J196" s="91"/>
      <c r="K196" s="92" t="s">
        <v>123</v>
      </c>
      <c r="L196" s="92"/>
      <c r="M196" s="91"/>
      <c r="N196" s="92" t="s">
        <v>130</v>
      </c>
      <c r="O196" s="99"/>
      <c r="P196" s="93"/>
      <c r="Q196" s="5"/>
      <c r="R196" s="5"/>
      <c r="S196" s="84"/>
      <c r="U196" s="5"/>
      <c r="V196" s="5"/>
    </row>
    <row r="197" spans="5:22" ht="36" customHeight="1" thickBot="1" x14ac:dyDescent="0.3">
      <c r="E197" s="4"/>
      <c r="G197" s="85">
        <f t="shared" si="12"/>
        <v>1</v>
      </c>
      <c r="H197" s="85" t="str">
        <f t="shared" si="11"/>
        <v>09.18</v>
      </c>
      <c r="I197" s="100"/>
      <c r="J197" s="91"/>
      <c r="K197" s="92" t="s">
        <v>123</v>
      </c>
      <c r="L197" s="92"/>
      <c r="M197" s="91"/>
      <c r="N197" s="92" t="s">
        <v>131</v>
      </c>
      <c r="O197" s="99"/>
      <c r="P197" s="93"/>
      <c r="Q197" s="5"/>
      <c r="R197" s="5"/>
      <c r="S197" s="84"/>
      <c r="U197" s="5"/>
      <c r="V197" s="5"/>
    </row>
    <row r="198" spans="5:22" ht="36" customHeight="1" thickBot="1" x14ac:dyDescent="0.3">
      <c r="E198" s="4"/>
      <c r="G198" s="85">
        <f t="shared" si="12"/>
        <v>1</v>
      </c>
      <c r="H198" s="85" t="str">
        <f t="shared" si="11"/>
        <v>09.19</v>
      </c>
      <c r="I198" s="100"/>
      <c r="J198" s="91"/>
      <c r="K198" s="92" t="s">
        <v>123</v>
      </c>
      <c r="L198" s="92"/>
      <c r="M198" s="91"/>
      <c r="N198" s="92" t="s">
        <v>132</v>
      </c>
      <c r="O198" s="99"/>
      <c r="P198" s="93"/>
      <c r="Q198" s="5"/>
      <c r="R198" s="5"/>
      <c r="S198" s="84"/>
      <c r="U198" s="5"/>
      <c r="V198" s="5"/>
    </row>
    <row r="199" spans="5:22" ht="36" customHeight="1" thickBot="1" x14ac:dyDescent="0.3">
      <c r="E199" s="4"/>
      <c r="G199" s="85">
        <f t="shared" si="12"/>
        <v>1</v>
      </c>
      <c r="H199" s="85" t="str">
        <f t="shared" si="11"/>
        <v>09.20</v>
      </c>
      <c r="I199" s="100"/>
      <c r="J199" s="91"/>
      <c r="K199" s="92" t="s">
        <v>123</v>
      </c>
      <c r="L199" s="92"/>
      <c r="M199" s="91"/>
      <c r="N199" s="92" t="s">
        <v>133</v>
      </c>
      <c r="O199" s="99"/>
      <c r="P199" s="93"/>
      <c r="Q199" s="5"/>
      <c r="R199" s="5"/>
      <c r="S199" s="84"/>
      <c r="U199" s="5"/>
      <c r="V199" s="5"/>
    </row>
    <row r="200" spans="5:22" ht="36" customHeight="1" thickBot="1" x14ac:dyDescent="0.3">
      <c r="E200" s="4"/>
      <c r="G200" s="85">
        <f t="shared" si="12"/>
        <v>1</v>
      </c>
      <c r="H200" s="85" t="str">
        <f t="shared" si="11"/>
        <v>09.21</v>
      </c>
      <c r="I200" s="100"/>
      <c r="J200" s="91"/>
      <c r="K200" s="92" t="s">
        <v>123</v>
      </c>
      <c r="L200" s="92"/>
      <c r="M200" s="91"/>
      <c r="N200" s="92" t="s">
        <v>134</v>
      </c>
      <c r="O200" s="99"/>
      <c r="P200" s="93"/>
      <c r="Q200" s="5"/>
      <c r="R200" s="5"/>
      <c r="S200" s="84"/>
      <c r="U200" s="5"/>
      <c r="V200" s="5"/>
    </row>
    <row r="201" spans="5:22" ht="36" customHeight="1" thickBot="1" x14ac:dyDescent="0.3">
      <c r="E201" s="4"/>
      <c r="G201" s="85">
        <f t="shared" si="12"/>
        <v>1</v>
      </c>
      <c r="H201" s="85" t="str">
        <f t="shared" si="11"/>
        <v>09.22</v>
      </c>
      <c r="I201" s="100"/>
      <c r="J201" s="91"/>
      <c r="K201" s="92" t="s">
        <v>123</v>
      </c>
      <c r="L201" s="92"/>
      <c r="M201" s="91"/>
      <c r="N201" s="92" t="s">
        <v>286</v>
      </c>
      <c r="O201" s="99"/>
      <c r="P201" s="93"/>
      <c r="Q201" s="5"/>
      <c r="R201" s="5"/>
      <c r="S201" s="84"/>
      <c r="U201" s="5"/>
      <c r="V201" s="5"/>
    </row>
    <row r="202" spans="5:22" ht="36" customHeight="1" thickBot="1" x14ac:dyDescent="0.3">
      <c r="E202" s="4"/>
      <c r="G202" s="85">
        <f t="shared" si="12"/>
        <v>1</v>
      </c>
      <c r="H202" s="85" t="str">
        <f t="shared" si="11"/>
        <v>09.23</v>
      </c>
      <c r="I202" s="100"/>
      <c r="J202" s="91"/>
      <c r="K202" s="92" t="s">
        <v>123</v>
      </c>
      <c r="L202" s="92"/>
      <c r="M202" s="91"/>
      <c r="N202" s="92" t="s">
        <v>136</v>
      </c>
      <c r="O202" s="99"/>
      <c r="P202" s="93"/>
      <c r="Q202" s="5"/>
      <c r="R202" s="5"/>
      <c r="S202" s="84"/>
      <c r="U202" s="5"/>
      <c r="V202" s="5"/>
    </row>
    <row r="203" spans="5:22" ht="36" customHeight="1" thickBot="1" x14ac:dyDescent="0.3">
      <c r="E203" s="4"/>
      <c r="G203" s="85">
        <f t="shared" si="12"/>
        <v>1</v>
      </c>
      <c r="H203" s="85" t="str">
        <f t="shared" si="11"/>
        <v>09.24</v>
      </c>
      <c r="I203" s="100"/>
      <c r="J203" s="91"/>
      <c r="K203" s="92" t="s">
        <v>123</v>
      </c>
      <c r="L203" s="92"/>
      <c r="M203" s="91"/>
      <c r="N203" s="92" t="s">
        <v>137</v>
      </c>
      <c r="O203" s="99"/>
      <c r="P203" s="93"/>
      <c r="Q203" s="5"/>
      <c r="R203" s="5"/>
      <c r="S203" s="84"/>
      <c r="U203" s="5"/>
      <c r="V203" s="5"/>
    </row>
    <row r="204" spans="5:22" ht="36" customHeight="1" thickBot="1" x14ac:dyDescent="0.3">
      <c r="E204" s="4"/>
      <c r="G204" s="85">
        <f t="shared" si="12"/>
        <v>1</v>
      </c>
      <c r="H204" s="85" t="str">
        <f t="shared" si="11"/>
        <v>09.25</v>
      </c>
      <c r="I204" s="100"/>
      <c r="J204" s="91"/>
      <c r="K204" s="92" t="s">
        <v>123</v>
      </c>
      <c r="L204" s="92"/>
      <c r="M204" s="91"/>
      <c r="N204" s="92" t="s">
        <v>138</v>
      </c>
      <c r="O204" s="99"/>
      <c r="P204" s="93"/>
      <c r="Q204" s="5"/>
      <c r="R204" s="5"/>
      <c r="S204" s="84"/>
      <c r="U204" s="5"/>
      <c r="V204" s="5"/>
    </row>
    <row r="205" spans="5:22" ht="36" customHeight="1" thickBot="1" x14ac:dyDescent="0.3">
      <c r="E205" s="4"/>
      <c r="G205" s="85">
        <f t="shared" si="12"/>
        <v>1</v>
      </c>
      <c r="H205" s="85" t="str">
        <f t="shared" si="11"/>
        <v>09.26</v>
      </c>
      <c r="I205" s="100"/>
      <c r="J205" s="91"/>
      <c r="K205" s="92" t="s">
        <v>123</v>
      </c>
      <c r="L205" s="92"/>
      <c r="M205" s="91"/>
      <c r="N205" s="92" t="s">
        <v>139</v>
      </c>
      <c r="O205" s="99"/>
      <c r="P205" s="93"/>
      <c r="Q205" s="5"/>
      <c r="R205" s="5"/>
      <c r="S205" s="84"/>
      <c r="U205" s="5"/>
      <c r="V205" s="5"/>
    </row>
    <row r="206" spans="5:22" ht="36" customHeight="1" thickBot="1" x14ac:dyDescent="0.3">
      <c r="E206" s="4"/>
      <c r="G206" s="85">
        <f t="shared" si="12"/>
        <v>1</v>
      </c>
      <c r="H206" s="85" t="str">
        <f t="shared" si="11"/>
        <v>10.11</v>
      </c>
      <c r="I206" s="100"/>
      <c r="J206" s="91"/>
      <c r="K206" s="92" t="s">
        <v>124</v>
      </c>
      <c r="L206" s="92"/>
      <c r="M206" s="91"/>
      <c r="N206" s="92" t="s">
        <v>95</v>
      </c>
      <c r="O206" s="99"/>
      <c r="P206" s="93"/>
      <c r="Q206" s="5"/>
      <c r="R206" s="5"/>
      <c r="S206" s="84"/>
      <c r="U206" s="5"/>
      <c r="V206" s="5"/>
    </row>
    <row r="207" spans="5:22" ht="36" customHeight="1" thickBot="1" x14ac:dyDescent="0.3">
      <c r="E207" s="4"/>
      <c r="G207" s="85">
        <f t="shared" si="12"/>
        <v>1</v>
      </c>
      <c r="H207" s="85" t="str">
        <f t="shared" si="11"/>
        <v>10.12</v>
      </c>
      <c r="I207" s="100"/>
      <c r="J207" s="91"/>
      <c r="K207" s="92" t="s">
        <v>124</v>
      </c>
      <c r="L207" s="92"/>
      <c r="M207" s="91"/>
      <c r="N207" s="92" t="s">
        <v>125</v>
      </c>
      <c r="O207" s="99"/>
      <c r="P207" s="93"/>
      <c r="Q207" s="5"/>
      <c r="R207" s="5"/>
      <c r="S207" s="84"/>
      <c r="U207" s="5"/>
      <c r="V207" s="5"/>
    </row>
    <row r="208" spans="5:22" ht="36" customHeight="1" thickBot="1" x14ac:dyDescent="0.3">
      <c r="E208" s="4"/>
      <c r="G208" s="85">
        <f t="shared" si="12"/>
        <v>1</v>
      </c>
      <c r="H208" s="85" t="str">
        <f t="shared" ref="H208:H271" si="13">TEXT(INDEX($A$2:$A$27,MATCH(K208,$K$2:$K$27,0)),"00")&amp;"."&amp;TEXT(INDEX($A$2:$A$27,MATCH(N208,$K$2:$K$27,0)),"00")</f>
        <v>10.13</v>
      </c>
      <c r="I208" s="100"/>
      <c r="J208" s="91"/>
      <c r="K208" s="92" t="s">
        <v>124</v>
      </c>
      <c r="L208" s="92"/>
      <c r="M208" s="91"/>
      <c r="N208" s="92" t="s">
        <v>126</v>
      </c>
      <c r="O208" s="99"/>
      <c r="P208" s="93"/>
      <c r="Q208" s="5"/>
      <c r="R208" s="5"/>
      <c r="S208" s="84"/>
      <c r="U208" s="5"/>
      <c r="V208" s="5"/>
    </row>
    <row r="209" spans="5:22" ht="36" customHeight="1" thickBot="1" x14ac:dyDescent="0.3">
      <c r="E209" s="4"/>
      <c r="G209" s="85">
        <f t="shared" si="12"/>
        <v>1</v>
      </c>
      <c r="H209" s="85" t="str">
        <f t="shared" si="13"/>
        <v>10.14</v>
      </c>
      <c r="I209" s="100"/>
      <c r="J209" s="91"/>
      <c r="K209" s="92" t="s">
        <v>124</v>
      </c>
      <c r="L209" s="92"/>
      <c r="M209" s="91"/>
      <c r="N209" s="92" t="s">
        <v>127</v>
      </c>
      <c r="O209" s="99"/>
      <c r="P209" s="93"/>
      <c r="Q209" s="5"/>
      <c r="R209" s="5"/>
      <c r="S209" s="84"/>
      <c r="U209" s="5"/>
      <c r="V209" s="5"/>
    </row>
    <row r="210" spans="5:22" ht="36" customHeight="1" thickBot="1" x14ac:dyDescent="0.3">
      <c r="E210" s="4"/>
      <c r="G210" s="85">
        <f t="shared" si="12"/>
        <v>1</v>
      </c>
      <c r="H210" s="85" t="str">
        <f t="shared" si="13"/>
        <v>10.15</v>
      </c>
      <c r="I210" s="100"/>
      <c r="J210" s="91"/>
      <c r="K210" s="92" t="s">
        <v>124</v>
      </c>
      <c r="L210" s="92"/>
      <c r="M210" s="91"/>
      <c r="N210" s="92" t="s">
        <v>128</v>
      </c>
      <c r="O210" s="99"/>
      <c r="P210" s="93"/>
      <c r="Q210" s="5"/>
      <c r="R210" s="5"/>
      <c r="S210" s="84"/>
      <c r="U210" s="5"/>
      <c r="V210" s="5"/>
    </row>
    <row r="211" spans="5:22" ht="36" customHeight="1" thickBot="1" x14ac:dyDescent="0.3">
      <c r="E211" s="4"/>
      <c r="G211" s="85">
        <f t="shared" si="12"/>
        <v>1</v>
      </c>
      <c r="H211" s="85" t="str">
        <f t="shared" si="13"/>
        <v>10.16</v>
      </c>
      <c r="I211" s="100"/>
      <c r="J211" s="91"/>
      <c r="K211" s="92" t="s">
        <v>124</v>
      </c>
      <c r="L211" s="92"/>
      <c r="M211" s="91"/>
      <c r="N211" s="92" t="s">
        <v>129</v>
      </c>
      <c r="O211" s="99"/>
      <c r="P211" s="93"/>
      <c r="Q211" s="5"/>
      <c r="R211" s="5"/>
      <c r="S211" s="84"/>
      <c r="U211" s="5"/>
      <c r="V211" s="5"/>
    </row>
    <row r="212" spans="5:22" ht="36" customHeight="1" thickBot="1" x14ac:dyDescent="0.3">
      <c r="E212" s="4"/>
      <c r="G212" s="85">
        <f t="shared" si="12"/>
        <v>1</v>
      </c>
      <c r="H212" s="85" t="str">
        <f t="shared" si="13"/>
        <v>10.17</v>
      </c>
      <c r="I212" s="100"/>
      <c r="J212" s="91"/>
      <c r="K212" s="92" t="s">
        <v>124</v>
      </c>
      <c r="L212" s="92"/>
      <c r="M212" s="91"/>
      <c r="N212" s="92" t="s">
        <v>130</v>
      </c>
      <c r="O212" s="99"/>
      <c r="P212" s="93"/>
      <c r="Q212" s="5"/>
      <c r="R212" s="5"/>
      <c r="S212" s="84"/>
      <c r="U212" s="5"/>
      <c r="V212" s="5"/>
    </row>
    <row r="213" spans="5:22" ht="36" customHeight="1" thickBot="1" x14ac:dyDescent="0.3">
      <c r="E213" s="4"/>
      <c r="G213" s="85">
        <f t="shared" si="12"/>
        <v>1</v>
      </c>
      <c r="H213" s="85" t="str">
        <f t="shared" si="13"/>
        <v>10.18</v>
      </c>
      <c r="I213" s="100"/>
      <c r="J213" s="91"/>
      <c r="K213" s="92" t="s">
        <v>124</v>
      </c>
      <c r="L213" s="92"/>
      <c r="M213" s="91"/>
      <c r="N213" s="92" t="s">
        <v>131</v>
      </c>
      <c r="O213" s="99"/>
      <c r="P213" s="93"/>
      <c r="Q213" s="5"/>
      <c r="R213" s="5"/>
      <c r="S213" s="84"/>
      <c r="U213" s="5"/>
      <c r="V213" s="5"/>
    </row>
    <row r="214" spans="5:22" ht="36" customHeight="1" thickBot="1" x14ac:dyDescent="0.3">
      <c r="E214" s="4"/>
      <c r="G214" s="85">
        <f t="shared" si="12"/>
        <v>1</v>
      </c>
      <c r="H214" s="85" t="str">
        <f t="shared" si="13"/>
        <v>10.19</v>
      </c>
      <c r="I214" s="100"/>
      <c r="J214" s="91"/>
      <c r="K214" s="92" t="s">
        <v>124</v>
      </c>
      <c r="L214" s="92"/>
      <c r="M214" s="91"/>
      <c r="N214" s="92" t="s">
        <v>132</v>
      </c>
      <c r="O214" s="99"/>
      <c r="P214" s="93"/>
      <c r="Q214" s="5"/>
      <c r="R214" s="5"/>
      <c r="S214" s="84"/>
      <c r="U214" s="5"/>
      <c r="V214" s="5"/>
    </row>
    <row r="215" spans="5:22" ht="36" customHeight="1" thickBot="1" x14ac:dyDescent="0.3">
      <c r="E215" s="4"/>
      <c r="G215" s="85">
        <f t="shared" si="12"/>
        <v>1</v>
      </c>
      <c r="H215" s="85" t="str">
        <f t="shared" si="13"/>
        <v>10.20</v>
      </c>
      <c r="I215" s="100"/>
      <c r="J215" s="91"/>
      <c r="K215" s="92" t="s">
        <v>124</v>
      </c>
      <c r="L215" s="92"/>
      <c r="M215" s="91"/>
      <c r="N215" s="92" t="s">
        <v>133</v>
      </c>
      <c r="O215" s="99"/>
      <c r="P215" s="93"/>
      <c r="Q215" s="5"/>
      <c r="R215" s="5"/>
      <c r="S215" s="84"/>
      <c r="U215" s="5"/>
      <c r="V215" s="5"/>
    </row>
    <row r="216" spans="5:22" ht="36" customHeight="1" thickBot="1" x14ac:dyDescent="0.3">
      <c r="E216" s="4"/>
      <c r="G216" s="85">
        <f t="shared" si="12"/>
        <v>1</v>
      </c>
      <c r="H216" s="85" t="str">
        <f t="shared" si="13"/>
        <v>10.21</v>
      </c>
      <c r="I216" s="100"/>
      <c r="J216" s="91"/>
      <c r="K216" s="92" t="s">
        <v>124</v>
      </c>
      <c r="L216" s="92"/>
      <c r="M216" s="91"/>
      <c r="N216" s="92" t="s">
        <v>134</v>
      </c>
      <c r="O216" s="99"/>
      <c r="P216" s="93"/>
      <c r="Q216" s="5"/>
      <c r="R216" s="5"/>
      <c r="S216" s="84"/>
      <c r="U216" s="5"/>
      <c r="V216" s="5"/>
    </row>
    <row r="217" spans="5:22" ht="36" customHeight="1" thickBot="1" x14ac:dyDescent="0.3">
      <c r="E217" s="4"/>
      <c r="G217" s="85">
        <f t="shared" si="12"/>
        <v>1</v>
      </c>
      <c r="H217" s="85" t="str">
        <f t="shared" si="13"/>
        <v>10.22</v>
      </c>
      <c r="I217" s="100"/>
      <c r="J217" s="91"/>
      <c r="K217" s="92" t="s">
        <v>124</v>
      </c>
      <c r="L217" s="92"/>
      <c r="M217" s="91"/>
      <c r="N217" s="92" t="s">
        <v>286</v>
      </c>
      <c r="O217" s="99"/>
      <c r="P217" s="93"/>
      <c r="Q217" s="5"/>
      <c r="R217" s="5"/>
      <c r="S217" s="84"/>
      <c r="U217" s="5"/>
      <c r="V217" s="5"/>
    </row>
    <row r="218" spans="5:22" ht="36" customHeight="1" thickBot="1" x14ac:dyDescent="0.3">
      <c r="E218" s="4"/>
      <c r="G218" s="85">
        <f t="shared" si="12"/>
        <v>1</v>
      </c>
      <c r="H218" s="85" t="str">
        <f t="shared" si="13"/>
        <v>10.23</v>
      </c>
      <c r="I218" s="100"/>
      <c r="J218" s="91"/>
      <c r="K218" s="92" t="s">
        <v>124</v>
      </c>
      <c r="L218" s="92"/>
      <c r="M218" s="91"/>
      <c r="N218" s="92" t="s">
        <v>136</v>
      </c>
      <c r="O218" s="99"/>
      <c r="P218" s="93"/>
      <c r="Q218" s="5"/>
      <c r="R218" s="5"/>
      <c r="S218" s="84"/>
      <c r="U218" s="5"/>
      <c r="V218" s="5"/>
    </row>
    <row r="219" spans="5:22" ht="36" customHeight="1" thickBot="1" x14ac:dyDescent="0.3">
      <c r="E219" s="4"/>
      <c r="G219" s="85">
        <f t="shared" si="12"/>
        <v>1</v>
      </c>
      <c r="H219" s="85" t="str">
        <f t="shared" si="13"/>
        <v>10.24</v>
      </c>
      <c r="I219" s="100"/>
      <c r="J219" s="91"/>
      <c r="K219" s="92" t="s">
        <v>124</v>
      </c>
      <c r="L219" s="92"/>
      <c r="M219" s="91"/>
      <c r="N219" s="92" t="s">
        <v>137</v>
      </c>
      <c r="O219" s="99"/>
      <c r="P219" s="93"/>
      <c r="Q219" s="5"/>
      <c r="R219" s="5"/>
      <c r="S219" s="84"/>
      <c r="U219" s="5"/>
      <c r="V219" s="5"/>
    </row>
    <row r="220" spans="5:22" ht="36" customHeight="1" thickBot="1" x14ac:dyDescent="0.3">
      <c r="E220" s="4"/>
      <c r="G220" s="85">
        <f t="shared" si="12"/>
        <v>1</v>
      </c>
      <c r="H220" s="85" t="str">
        <f t="shared" si="13"/>
        <v>10.25</v>
      </c>
      <c r="I220" s="100"/>
      <c r="J220" s="91"/>
      <c r="K220" s="92" t="s">
        <v>124</v>
      </c>
      <c r="L220" s="92"/>
      <c r="M220" s="91"/>
      <c r="N220" s="92" t="s">
        <v>138</v>
      </c>
      <c r="O220" s="99"/>
      <c r="P220" s="93"/>
      <c r="Q220" s="5"/>
      <c r="R220" s="5"/>
      <c r="S220" s="84"/>
      <c r="U220" s="5"/>
      <c r="V220" s="5"/>
    </row>
    <row r="221" spans="5:22" ht="36" customHeight="1" thickBot="1" x14ac:dyDescent="0.3">
      <c r="E221" s="4"/>
      <c r="G221" s="85">
        <f t="shared" si="12"/>
        <v>1</v>
      </c>
      <c r="H221" s="85" t="str">
        <f t="shared" si="13"/>
        <v>10.26</v>
      </c>
      <c r="I221" s="100"/>
      <c r="J221" s="91"/>
      <c r="K221" s="92" t="s">
        <v>124</v>
      </c>
      <c r="L221" s="92"/>
      <c r="M221" s="91"/>
      <c r="N221" s="92" t="s">
        <v>139</v>
      </c>
      <c r="O221" s="99"/>
      <c r="P221" s="93"/>
      <c r="Q221" s="5"/>
      <c r="R221" s="5"/>
      <c r="S221" s="84"/>
      <c r="U221" s="5"/>
      <c r="V221" s="5"/>
    </row>
    <row r="222" spans="5:22" ht="36" customHeight="1" thickBot="1" x14ac:dyDescent="0.3">
      <c r="E222" s="4"/>
      <c r="G222" s="85">
        <f t="shared" si="12"/>
        <v>1</v>
      </c>
      <c r="H222" s="85" t="str">
        <f t="shared" si="13"/>
        <v>11.13</v>
      </c>
      <c r="I222" s="100"/>
      <c r="J222" s="91"/>
      <c r="K222" s="92" t="s">
        <v>95</v>
      </c>
      <c r="L222" s="92"/>
      <c r="M222" s="91"/>
      <c r="N222" s="92" t="s">
        <v>126</v>
      </c>
      <c r="O222" s="99"/>
      <c r="P222" s="93"/>
      <c r="Q222" s="5"/>
      <c r="R222" s="5"/>
      <c r="S222" s="84"/>
      <c r="U222" s="5"/>
      <c r="V222" s="5"/>
    </row>
    <row r="223" spans="5:22" ht="36" customHeight="1" thickBot="1" x14ac:dyDescent="0.3">
      <c r="E223" s="4"/>
      <c r="G223" s="85" t="str">
        <f t="shared" si="12"/>
        <v/>
      </c>
      <c r="H223" s="85" t="str">
        <f t="shared" si="13"/>
        <v>11.14</v>
      </c>
      <c r="I223" s="100"/>
      <c r="J223" s="91"/>
      <c r="K223" s="92" t="s">
        <v>95</v>
      </c>
      <c r="L223" s="92"/>
      <c r="M223" s="91"/>
      <c r="N223" s="92" t="s">
        <v>127</v>
      </c>
      <c r="O223" s="99"/>
      <c r="P223" s="93"/>
      <c r="Q223" s="5"/>
      <c r="R223" s="5"/>
      <c r="S223" s="84"/>
      <c r="U223" s="5"/>
      <c r="V223" s="5"/>
    </row>
    <row r="224" spans="5:22" ht="36" customHeight="1" thickBot="1" x14ac:dyDescent="0.3">
      <c r="E224" s="4"/>
      <c r="G224" s="85">
        <f t="shared" si="12"/>
        <v>1</v>
      </c>
      <c r="H224" s="85" t="str">
        <f t="shared" si="13"/>
        <v>11.15</v>
      </c>
      <c r="I224" s="100"/>
      <c r="J224" s="91"/>
      <c r="K224" s="92" t="s">
        <v>95</v>
      </c>
      <c r="L224" s="92"/>
      <c r="M224" s="91"/>
      <c r="N224" s="92" t="s">
        <v>128</v>
      </c>
      <c r="O224" s="99"/>
      <c r="P224" s="93"/>
      <c r="Q224" s="5"/>
      <c r="R224" s="5"/>
      <c r="S224" s="84"/>
      <c r="U224" s="5"/>
      <c r="V224" s="5"/>
    </row>
    <row r="225" spans="5:22" ht="36" customHeight="1" thickBot="1" x14ac:dyDescent="0.3">
      <c r="E225" s="4"/>
      <c r="G225" s="85">
        <f t="shared" si="12"/>
        <v>1</v>
      </c>
      <c r="H225" s="85" t="str">
        <f t="shared" si="13"/>
        <v>11.16</v>
      </c>
      <c r="I225" s="100"/>
      <c r="J225" s="91"/>
      <c r="K225" s="92" t="s">
        <v>95</v>
      </c>
      <c r="L225" s="92"/>
      <c r="M225" s="91"/>
      <c r="N225" s="92" t="s">
        <v>129</v>
      </c>
      <c r="O225" s="99"/>
      <c r="P225" s="93"/>
      <c r="Q225" s="5"/>
      <c r="R225" s="5"/>
      <c r="S225" s="84"/>
      <c r="U225" s="5"/>
      <c r="V225" s="5"/>
    </row>
    <row r="226" spans="5:22" ht="36" customHeight="1" thickBot="1" x14ac:dyDescent="0.3">
      <c r="E226" s="4"/>
      <c r="G226" s="85">
        <f t="shared" si="12"/>
        <v>1</v>
      </c>
      <c r="H226" s="85" t="str">
        <f t="shared" si="13"/>
        <v>11.17</v>
      </c>
      <c r="I226" s="100"/>
      <c r="J226" s="91"/>
      <c r="K226" s="92" t="s">
        <v>95</v>
      </c>
      <c r="L226" s="92"/>
      <c r="M226" s="91"/>
      <c r="N226" s="92" t="s">
        <v>130</v>
      </c>
      <c r="O226" s="99"/>
      <c r="P226" s="93"/>
      <c r="Q226" s="5"/>
      <c r="R226" s="5"/>
      <c r="S226" s="84"/>
      <c r="U226" s="5"/>
      <c r="V226" s="5"/>
    </row>
    <row r="227" spans="5:22" ht="36" customHeight="1" thickBot="1" x14ac:dyDescent="0.3">
      <c r="E227" s="4"/>
      <c r="G227" s="85">
        <f t="shared" si="12"/>
        <v>1</v>
      </c>
      <c r="H227" s="85" t="str">
        <f t="shared" si="13"/>
        <v>11.18</v>
      </c>
      <c r="I227" s="100"/>
      <c r="J227" s="91"/>
      <c r="K227" s="92" t="s">
        <v>95</v>
      </c>
      <c r="L227" s="92"/>
      <c r="M227" s="91"/>
      <c r="N227" s="92" t="s">
        <v>131</v>
      </c>
      <c r="O227" s="99"/>
      <c r="P227" s="93"/>
      <c r="Q227" s="5"/>
      <c r="R227" s="5"/>
      <c r="S227" s="84"/>
      <c r="U227" s="5"/>
      <c r="V227" s="5"/>
    </row>
    <row r="228" spans="5:22" ht="36" customHeight="1" thickBot="1" x14ac:dyDescent="0.3">
      <c r="E228" s="4"/>
      <c r="G228" s="85">
        <f t="shared" si="12"/>
        <v>1</v>
      </c>
      <c r="H228" s="85" t="str">
        <f t="shared" si="13"/>
        <v>11.19</v>
      </c>
      <c r="I228" s="100"/>
      <c r="J228" s="91"/>
      <c r="K228" s="92" t="s">
        <v>95</v>
      </c>
      <c r="L228" s="92"/>
      <c r="M228" s="91"/>
      <c r="N228" s="92" t="s">
        <v>132</v>
      </c>
      <c r="O228" s="99"/>
      <c r="P228" s="93"/>
      <c r="Q228" s="5"/>
      <c r="R228" s="5"/>
      <c r="S228" s="84"/>
      <c r="U228" s="5"/>
      <c r="V228" s="5"/>
    </row>
    <row r="229" spans="5:22" ht="36" customHeight="1" thickBot="1" x14ac:dyDescent="0.3">
      <c r="E229" s="4"/>
      <c r="G229" s="85">
        <f t="shared" si="12"/>
        <v>1</v>
      </c>
      <c r="H229" s="85" t="str">
        <f t="shared" si="13"/>
        <v>11.20</v>
      </c>
      <c r="I229" s="100"/>
      <c r="J229" s="91"/>
      <c r="K229" s="92" t="s">
        <v>95</v>
      </c>
      <c r="L229" s="92"/>
      <c r="M229" s="91"/>
      <c r="N229" s="92" t="s">
        <v>133</v>
      </c>
      <c r="O229" s="99"/>
      <c r="P229" s="93"/>
      <c r="Q229" s="5"/>
      <c r="R229" s="5"/>
      <c r="S229" s="84"/>
      <c r="U229" s="5"/>
      <c r="V229" s="5"/>
    </row>
    <row r="230" spans="5:22" ht="36" customHeight="1" thickBot="1" x14ac:dyDescent="0.3">
      <c r="E230" s="4"/>
      <c r="G230" s="85">
        <f t="shared" si="12"/>
        <v>1</v>
      </c>
      <c r="H230" s="85" t="str">
        <f t="shared" si="13"/>
        <v>11.21</v>
      </c>
      <c r="I230" s="100"/>
      <c r="J230" s="91"/>
      <c r="K230" s="92" t="s">
        <v>95</v>
      </c>
      <c r="L230" s="92"/>
      <c r="M230" s="91"/>
      <c r="N230" s="92" t="s">
        <v>134</v>
      </c>
      <c r="O230" s="99"/>
      <c r="P230" s="93"/>
      <c r="Q230" s="5"/>
      <c r="R230" s="5"/>
      <c r="S230" s="84"/>
      <c r="U230" s="5"/>
      <c r="V230" s="5"/>
    </row>
    <row r="231" spans="5:22" ht="36" customHeight="1" thickBot="1" x14ac:dyDescent="0.3">
      <c r="E231" s="4"/>
      <c r="G231" s="85">
        <f t="shared" si="12"/>
        <v>1</v>
      </c>
      <c r="H231" s="85" t="str">
        <f t="shared" si="13"/>
        <v>11.22</v>
      </c>
      <c r="I231" s="100"/>
      <c r="J231" s="91"/>
      <c r="K231" s="92" t="s">
        <v>95</v>
      </c>
      <c r="L231" s="92"/>
      <c r="M231" s="91"/>
      <c r="N231" s="92" t="s">
        <v>286</v>
      </c>
      <c r="O231" s="99"/>
      <c r="P231" s="93"/>
      <c r="Q231" s="5"/>
      <c r="R231" s="5"/>
      <c r="S231" s="84"/>
      <c r="U231" s="5"/>
      <c r="V231" s="5"/>
    </row>
    <row r="232" spans="5:22" ht="36" customHeight="1" thickBot="1" x14ac:dyDescent="0.3">
      <c r="E232" s="4"/>
      <c r="G232" s="85">
        <f t="shared" si="12"/>
        <v>1</v>
      </c>
      <c r="H232" s="85" t="str">
        <f t="shared" si="13"/>
        <v>11.23</v>
      </c>
      <c r="I232" s="100"/>
      <c r="J232" s="91"/>
      <c r="K232" s="92" t="s">
        <v>95</v>
      </c>
      <c r="L232" s="92"/>
      <c r="M232" s="91"/>
      <c r="N232" s="92" t="s">
        <v>136</v>
      </c>
      <c r="O232" s="99"/>
      <c r="P232" s="93"/>
      <c r="Q232" s="5"/>
      <c r="R232" s="5"/>
      <c r="S232" s="84"/>
      <c r="U232" s="5"/>
      <c r="V232" s="5"/>
    </row>
    <row r="233" spans="5:22" ht="36" customHeight="1" thickBot="1" x14ac:dyDescent="0.3">
      <c r="E233" s="4"/>
      <c r="G233" s="85">
        <f t="shared" si="12"/>
        <v>1</v>
      </c>
      <c r="H233" s="85" t="str">
        <f t="shared" si="13"/>
        <v>11.24</v>
      </c>
      <c r="I233" s="100"/>
      <c r="J233" s="91"/>
      <c r="K233" s="92" t="s">
        <v>95</v>
      </c>
      <c r="L233" s="92"/>
      <c r="M233" s="91"/>
      <c r="N233" s="92" t="s">
        <v>137</v>
      </c>
      <c r="O233" s="99"/>
      <c r="P233" s="93"/>
      <c r="Q233" s="5"/>
      <c r="R233" s="5"/>
      <c r="S233" s="84"/>
      <c r="U233" s="5"/>
      <c r="V233" s="5"/>
    </row>
    <row r="234" spans="5:22" ht="36" customHeight="1" thickBot="1" x14ac:dyDescent="0.3">
      <c r="E234" s="4"/>
      <c r="G234" s="85">
        <f t="shared" si="12"/>
        <v>1</v>
      </c>
      <c r="H234" s="85" t="str">
        <f t="shared" si="13"/>
        <v>11.25</v>
      </c>
      <c r="I234" s="100"/>
      <c r="J234" s="91"/>
      <c r="K234" s="92" t="s">
        <v>95</v>
      </c>
      <c r="L234" s="92"/>
      <c r="M234" s="91"/>
      <c r="N234" s="92" t="s">
        <v>138</v>
      </c>
      <c r="O234" s="99"/>
      <c r="P234" s="93"/>
      <c r="Q234" s="5"/>
      <c r="R234" s="5"/>
      <c r="S234" s="84"/>
      <c r="U234" s="5"/>
      <c r="V234" s="5"/>
    </row>
    <row r="235" spans="5:22" ht="36" customHeight="1" thickBot="1" x14ac:dyDescent="0.3">
      <c r="E235" s="4"/>
      <c r="G235" s="85">
        <f t="shared" si="12"/>
        <v>1</v>
      </c>
      <c r="H235" s="85" t="str">
        <f t="shared" si="13"/>
        <v>11.26</v>
      </c>
      <c r="I235" s="100"/>
      <c r="J235" s="91"/>
      <c r="K235" s="92" t="s">
        <v>95</v>
      </c>
      <c r="L235" s="92"/>
      <c r="M235" s="91"/>
      <c r="N235" s="92" t="s">
        <v>139</v>
      </c>
      <c r="O235" s="99"/>
      <c r="P235" s="93"/>
      <c r="Q235" s="5"/>
      <c r="R235" s="5"/>
      <c r="S235" s="84"/>
      <c r="U235" s="5"/>
      <c r="V235" s="5"/>
    </row>
    <row r="236" spans="5:22" ht="36" customHeight="1" thickBot="1" x14ac:dyDescent="0.3">
      <c r="E236" s="4"/>
      <c r="G236" s="85">
        <f t="shared" si="12"/>
        <v>1</v>
      </c>
      <c r="H236" s="85" t="str">
        <f t="shared" si="13"/>
        <v>12.13</v>
      </c>
      <c r="I236" s="100"/>
      <c r="J236" s="91"/>
      <c r="K236" s="92" t="s">
        <v>125</v>
      </c>
      <c r="L236" s="92"/>
      <c r="M236" s="91"/>
      <c r="N236" s="92" t="s">
        <v>126</v>
      </c>
      <c r="O236" s="99"/>
      <c r="P236" s="93"/>
      <c r="Q236" s="5"/>
      <c r="R236" s="5"/>
      <c r="S236" s="84"/>
      <c r="U236" s="5"/>
      <c r="V236" s="5"/>
    </row>
    <row r="237" spans="5:22" ht="36" customHeight="1" thickBot="1" x14ac:dyDescent="0.3">
      <c r="E237" s="4"/>
      <c r="G237" s="85">
        <f t="shared" si="12"/>
        <v>1</v>
      </c>
      <c r="H237" s="85" t="str">
        <f t="shared" si="13"/>
        <v>12.14</v>
      </c>
      <c r="I237" s="100"/>
      <c r="J237" s="91"/>
      <c r="K237" s="92" t="s">
        <v>125</v>
      </c>
      <c r="L237" s="92"/>
      <c r="M237" s="91"/>
      <c r="N237" s="92" t="s">
        <v>127</v>
      </c>
      <c r="O237" s="99"/>
      <c r="P237" s="93"/>
      <c r="Q237" s="5"/>
      <c r="R237" s="5"/>
      <c r="S237" s="84"/>
      <c r="U237" s="5"/>
      <c r="V237" s="5"/>
    </row>
    <row r="238" spans="5:22" ht="36" customHeight="1" thickBot="1" x14ac:dyDescent="0.3">
      <c r="E238" s="4"/>
      <c r="G238" s="85">
        <f t="shared" si="12"/>
        <v>1</v>
      </c>
      <c r="H238" s="85" t="str">
        <f t="shared" si="13"/>
        <v>12.15</v>
      </c>
      <c r="I238" s="100"/>
      <c r="J238" s="91"/>
      <c r="K238" s="92" t="s">
        <v>125</v>
      </c>
      <c r="L238" s="92"/>
      <c r="M238" s="91"/>
      <c r="N238" s="92" t="s">
        <v>128</v>
      </c>
      <c r="O238" s="99"/>
      <c r="P238" s="93"/>
      <c r="Q238" s="5"/>
      <c r="R238" s="5"/>
      <c r="S238" s="84"/>
      <c r="U238" s="5"/>
      <c r="V238" s="5"/>
    </row>
    <row r="239" spans="5:22" ht="36" customHeight="1" thickBot="1" x14ac:dyDescent="0.3">
      <c r="E239" s="4"/>
      <c r="G239" s="85">
        <f t="shared" si="12"/>
        <v>1</v>
      </c>
      <c r="H239" s="85" t="str">
        <f t="shared" si="13"/>
        <v>12.16</v>
      </c>
      <c r="I239" s="100"/>
      <c r="J239" s="91"/>
      <c r="K239" s="92" t="s">
        <v>125</v>
      </c>
      <c r="L239" s="92"/>
      <c r="M239" s="91"/>
      <c r="N239" s="92" t="s">
        <v>129</v>
      </c>
      <c r="O239" s="99"/>
      <c r="P239" s="93"/>
      <c r="Q239" s="5"/>
      <c r="R239" s="5"/>
      <c r="S239" s="84"/>
      <c r="U239" s="5"/>
      <c r="V239" s="5"/>
    </row>
    <row r="240" spans="5:22" ht="36" customHeight="1" thickBot="1" x14ac:dyDescent="0.3">
      <c r="E240" s="4"/>
      <c r="G240" s="85">
        <f t="shared" si="12"/>
        <v>1</v>
      </c>
      <c r="H240" s="85" t="str">
        <f t="shared" si="13"/>
        <v>12.17</v>
      </c>
      <c r="I240" s="100"/>
      <c r="J240" s="91"/>
      <c r="K240" s="92" t="s">
        <v>125</v>
      </c>
      <c r="L240" s="92"/>
      <c r="M240" s="91"/>
      <c r="N240" s="92" t="s">
        <v>130</v>
      </c>
      <c r="O240" s="99"/>
      <c r="P240" s="93"/>
      <c r="Q240" s="5"/>
      <c r="R240" s="5"/>
      <c r="S240" s="84"/>
      <c r="U240" s="5"/>
      <c r="V240" s="5"/>
    </row>
    <row r="241" spans="5:22" ht="36" customHeight="1" thickBot="1" x14ac:dyDescent="0.3">
      <c r="E241" s="4"/>
      <c r="G241" s="85">
        <f t="shared" si="12"/>
        <v>1</v>
      </c>
      <c r="H241" s="85" t="str">
        <f t="shared" si="13"/>
        <v>12.18</v>
      </c>
      <c r="I241" s="100"/>
      <c r="J241" s="91"/>
      <c r="K241" s="92" t="s">
        <v>125</v>
      </c>
      <c r="L241" s="92"/>
      <c r="M241" s="91"/>
      <c r="N241" s="92" t="s">
        <v>131</v>
      </c>
      <c r="O241" s="99"/>
      <c r="P241" s="93"/>
      <c r="Q241" s="5"/>
      <c r="R241" s="5"/>
      <c r="S241" s="84"/>
      <c r="U241" s="5"/>
      <c r="V241" s="5"/>
    </row>
    <row r="242" spans="5:22" ht="36" customHeight="1" thickBot="1" x14ac:dyDescent="0.3">
      <c r="E242" s="4"/>
      <c r="G242" s="85">
        <f t="shared" si="12"/>
        <v>1</v>
      </c>
      <c r="H242" s="85" t="str">
        <f t="shared" si="13"/>
        <v>12.19</v>
      </c>
      <c r="I242" s="100"/>
      <c r="J242" s="91"/>
      <c r="K242" s="92" t="s">
        <v>125</v>
      </c>
      <c r="L242" s="92"/>
      <c r="M242" s="91"/>
      <c r="N242" s="92" t="s">
        <v>132</v>
      </c>
      <c r="O242" s="99"/>
      <c r="P242" s="93"/>
      <c r="Q242" s="5"/>
      <c r="R242" s="5"/>
      <c r="S242" s="84"/>
      <c r="U242" s="5"/>
      <c r="V242" s="5"/>
    </row>
    <row r="243" spans="5:22" ht="36" customHeight="1" thickBot="1" x14ac:dyDescent="0.3">
      <c r="E243" s="4"/>
      <c r="G243" s="85">
        <f t="shared" si="12"/>
        <v>1</v>
      </c>
      <c r="H243" s="85" t="str">
        <f t="shared" si="13"/>
        <v>12.20</v>
      </c>
      <c r="I243" s="100"/>
      <c r="J243" s="91"/>
      <c r="K243" s="92" t="s">
        <v>125</v>
      </c>
      <c r="L243" s="92"/>
      <c r="M243" s="91"/>
      <c r="N243" s="92" t="s">
        <v>133</v>
      </c>
      <c r="O243" s="99"/>
      <c r="P243" s="93"/>
      <c r="Q243" s="5"/>
      <c r="R243" s="5"/>
      <c r="S243" s="84"/>
      <c r="U243" s="5"/>
      <c r="V243" s="5"/>
    </row>
    <row r="244" spans="5:22" ht="36" customHeight="1" thickBot="1" x14ac:dyDescent="0.3">
      <c r="E244" s="4"/>
      <c r="G244" s="85">
        <f t="shared" si="12"/>
        <v>1</v>
      </c>
      <c r="H244" s="85" t="str">
        <f t="shared" si="13"/>
        <v>12.21</v>
      </c>
      <c r="I244" s="100"/>
      <c r="J244" s="91"/>
      <c r="K244" s="92" t="s">
        <v>125</v>
      </c>
      <c r="L244" s="92"/>
      <c r="M244" s="91"/>
      <c r="N244" s="92" t="s">
        <v>134</v>
      </c>
      <c r="O244" s="99"/>
      <c r="P244" s="93"/>
      <c r="Q244" s="5"/>
      <c r="R244" s="5"/>
      <c r="S244" s="84"/>
      <c r="U244" s="5"/>
      <c r="V244" s="5"/>
    </row>
    <row r="245" spans="5:22" ht="36" customHeight="1" thickBot="1" x14ac:dyDescent="0.3">
      <c r="E245" s="4"/>
      <c r="G245" s="85">
        <f t="shared" si="12"/>
        <v>1</v>
      </c>
      <c r="H245" s="85" t="str">
        <f t="shared" si="13"/>
        <v>12.22</v>
      </c>
      <c r="I245" s="100"/>
      <c r="J245" s="91"/>
      <c r="K245" s="92" t="s">
        <v>125</v>
      </c>
      <c r="L245" s="92"/>
      <c r="M245" s="91"/>
      <c r="N245" s="92" t="s">
        <v>286</v>
      </c>
      <c r="O245" s="99"/>
      <c r="P245" s="93"/>
      <c r="Q245" s="5"/>
      <c r="R245" s="5"/>
      <c r="S245" s="84"/>
      <c r="U245" s="5"/>
      <c r="V245" s="5"/>
    </row>
    <row r="246" spans="5:22" ht="36" customHeight="1" thickBot="1" x14ac:dyDescent="0.3">
      <c r="E246" s="4"/>
      <c r="G246" s="85">
        <f t="shared" si="12"/>
        <v>1</v>
      </c>
      <c r="H246" s="85" t="str">
        <f t="shared" si="13"/>
        <v>12.23</v>
      </c>
      <c r="I246" s="100"/>
      <c r="J246" s="91"/>
      <c r="K246" s="92" t="s">
        <v>125</v>
      </c>
      <c r="L246" s="92"/>
      <c r="M246" s="91"/>
      <c r="N246" s="92" t="s">
        <v>136</v>
      </c>
      <c r="O246" s="99"/>
      <c r="P246" s="93"/>
      <c r="Q246" s="5"/>
      <c r="R246" s="5"/>
      <c r="S246" s="84"/>
      <c r="U246" s="5"/>
      <c r="V246" s="5"/>
    </row>
    <row r="247" spans="5:22" ht="36" customHeight="1" thickBot="1" x14ac:dyDescent="0.3">
      <c r="E247" s="4"/>
      <c r="G247" s="85">
        <f t="shared" ref="G247:G310" si="14">IF(OR(
ISNUMBER(SEARCH($H247,$F$2)),ISNUMBER(SEARCH($H247,$F$3)),ISNUMBER(SEARCH($H247,$F$4)),ISNUMBER(SEARCH($H247,$F$5)),ISNUMBER(SEARCH($H247,$F$6)),ISNUMBER(SEARCH($H247,$F$7)),ISNUMBER(SEARCH($H247,$F$8))),"",1)</f>
        <v>1</v>
      </c>
      <c r="H247" s="85" t="str">
        <f t="shared" si="13"/>
        <v>12.24</v>
      </c>
      <c r="I247" s="100"/>
      <c r="J247" s="91"/>
      <c r="K247" s="92" t="s">
        <v>125</v>
      </c>
      <c r="L247" s="92"/>
      <c r="M247" s="91"/>
      <c r="N247" s="92" t="s">
        <v>137</v>
      </c>
      <c r="O247" s="99"/>
      <c r="P247" s="93"/>
      <c r="Q247" s="5"/>
      <c r="R247" s="5"/>
      <c r="S247" s="84"/>
      <c r="U247" s="5"/>
      <c r="V247" s="5"/>
    </row>
    <row r="248" spans="5:22" ht="36" customHeight="1" thickBot="1" x14ac:dyDescent="0.3">
      <c r="E248" s="4"/>
      <c r="G248" s="85">
        <f t="shared" si="14"/>
        <v>1</v>
      </c>
      <c r="H248" s="85" t="str">
        <f t="shared" si="13"/>
        <v>12.25</v>
      </c>
      <c r="I248" s="100"/>
      <c r="J248" s="91"/>
      <c r="K248" s="92" t="s">
        <v>125</v>
      </c>
      <c r="L248" s="92"/>
      <c r="M248" s="91"/>
      <c r="N248" s="92" t="s">
        <v>138</v>
      </c>
      <c r="O248" s="99"/>
      <c r="P248" s="93"/>
      <c r="Q248" s="5"/>
      <c r="R248" s="5"/>
      <c r="S248" s="84"/>
      <c r="U248" s="5"/>
      <c r="V248" s="5"/>
    </row>
    <row r="249" spans="5:22" ht="36" customHeight="1" thickBot="1" x14ac:dyDescent="0.3">
      <c r="E249" s="4"/>
      <c r="G249" s="85">
        <f t="shared" si="14"/>
        <v>1</v>
      </c>
      <c r="H249" s="85" t="str">
        <f t="shared" si="13"/>
        <v>12.26</v>
      </c>
      <c r="I249" s="100"/>
      <c r="J249" s="91"/>
      <c r="K249" s="92" t="s">
        <v>125</v>
      </c>
      <c r="L249" s="92"/>
      <c r="M249" s="91"/>
      <c r="N249" s="92" t="s">
        <v>139</v>
      </c>
      <c r="O249" s="99"/>
      <c r="P249" s="93"/>
      <c r="Q249" s="5"/>
      <c r="R249" s="5"/>
      <c r="S249" s="84"/>
      <c r="U249" s="5"/>
      <c r="V249" s="5"/>
    </row>
    <row r="250" spans="5:22" ht="36" customHeight="1" thickBot="1" x14ac:dyDescent="0.3">
      <c r="E250" s="4"/>
      <c r="G250" s="85">
        <f t="shared" si="14"/>
        <v>1</v>
      </c>
      <c r="H250" s="85" t="str">
        <f t="shared" si="13"/>
        <v>13.17</v>
      </c>
      <c r="I250" s="100"/>
      <c r="J250" s="91"/>
      <c r="K250" s="92" t="s">
        <v>126</v>
      </c>
      <c r="L250" s="92"/>
      <c r="M250" s="91"/>
      <c r="N250" s="92" t="s">
        <v>130</v>
      </c>
      <c r="O250" s="99"/>
      <c r="P250" s="93"/>
      <c r="Q250" s="5"/>
      <c r="R250" s="5"/>
      <c r="S250" s="84"/>
      <c r="U250" s="5"/>
      <c r="V250" s="5"/>
    </row>
    <row r="251" spans="5:22" ht="36" customHeight="1" thickBot="1" x14ac:dyDescent="0.3">
      <c r="E251" s="4"/>
      <c r="G251" s="85">
        <f t="shared" si="14"/>
        <v>1</v>
      </c>
      <c r="H251" s="85" t="str">
        <f t="shared" si="13"/>
        <v>13.18</v>
      </c>
      <c r="I251" s="100"/>
      <c r="J251" s="91"/>
      <c r="K251" s="92" t="s">
        <v>126</v>
      </c>
      <c r="L251" s="92"/>
      <c r="M251" s="91"/>
      <c r="N251" s="92" t="s">
        <v>131</v>
      </c>
      <c r="O251" s="99"/>
      <c r="P251" s="93"/>
      <c r="Q251" s="5"/>
      <c r="R251" s="5"/>
      <c r="S251" s="84"/>
      <c r="U251" s="5"/>
      <c r="V251" s="5"/>
    </row>
    <row r="252" spans="5:22" ht="36" customHeight="1" thickBot="1" x14ac:dyDescent="0.3">
      <c r="E252" s="4"/>
      <c r="G252" s="85">
        <f t="shared" si="14"/>
        <v>1</v>
      </c>
      <c r="H252" s="85" t="str">
        <f t="shared" si="13"/>
        <v>13.19</v>
      </c>
      <c r="I252" s="100"/>
      <c r="J252" s="91"/>
      <c r="K252" s="92" t="s">
        <v>126</v>
      </c>
      <c r="L252" s="92"/>
      <c r="M252" s="91"/>
      <c r="N252" s="92" t="s">
        <v>132</v>
      </c>
      <c r="O252" s="99"/>
      <c r="P252" s="93"/>
      <c r="Q252" s="5"/>
      <c r="R252" s="5"/>
      <c r="S252" s="84"/>
      <c r="U252" s="5"/>
      <c r="V252" s="5"/>
    </row>
    <row r="253" spans="5:22" ht="36" customHeight="1" thickBot="1" x14ac:dyDescent="0.3">
      <c r="E253" s="4"/>
      <c r="G253" s="85">
        <f t="shared" si="14"/>
        <v>1</v>
      </c>
      <c r="H253" s="85" t="str">
        <f t="shared" si="13"/>
        <v>13.20</v>
      </c>
      <c r="I253" s="100"/>
      <c r="J253" s="91"/>
      <c r="K253" s="92" t="s">
        <v>126</v>
      </c>
      <c r="L253" s="92"/>
      <c r="M253" s="91"/>
      <c r="N253" s="92" t="s">
        <v>133</v>
      </c>
      <c r="O253" s="99"/>
      <c r="P253" s="93"/>
      <c r="Q253" s="5"/>
      <c r="R253" s="5"/>
      <c r="S253" s="84"/>
      <c r="U253" s="5"/>
      <c r="V253" s="5"/>
    </row>
    <row r="254" spans="5:22" ht="36" customHeight="1" thickBot="1" x14ac:dyDescent="0.3">
      <c r="E254" s="4"/>
      <c r="G254" s="85">
        <f t="shared" si="14"/>
        <v>1</v>
      </c>
      <c r="H254" s="85" t="str">
        <f t="shared" si="13"/>
        <v>13.21</v>
      </c>
      <c r="I254" s="100"/>
      <c r="J254" s="91"/>
      <c r="K254" s="92" t="s">
        <v>126</v>
      </c>
      <c r="L254" s="92"/>
      <c r="M254" s="91"/>
      <c r="N254" s="92" t="s">
        <v>134</v>
      </c>
      <c r="O254" s="99"/>
      <c r="P254" s="93"/>
      <c r="Q254" s="5"/>
      <c r="R254" s="5"/>
      <c r="S254" s="84"/>
      <c r="U254" s="5"/>
      <c r="V254" s="5"/>
    </row>
    <row r="255" spans="5:22" ht="36" customHeight="1" thickBot="1" x14ac:dyDescent="0.3">
      <c r="E255" s="4"/>
      <c r="G255" s="85">
        <f t="shared" si="14"/>
        <v>1</v>
      </c>
      <c r="H255" s="85" t="str">
        <f t="shared" si="13"/>
        <v>13.22</v>
      </c>
      <c r="I255" s="100"/>
      <c r="J255" s="91"/>
      <c r="K255" s="92" t="s">
        <v>126</v>
      </c>
      <c r="L255" s="92"/>
      <c r="M255" s="91"/>
      <c r="N255" s="92" t="s">
        <v>286</v>
      </c>
      <c r="O255" s="99"/>
      <c r="P255" s="93"/>
      <c r="Q255" s="5"/>
      <c r="R255" s="5"/>
      <c r="S255" s="84"/>
      <c r="U255" s="5"/>
      <c r="V255" s="5"/>
    </row>
    <row r="256" spans="5:22" ht="36" customHeight="1" thickBot="1" x14ac:dyDescent="0.3">
      <c r="E256" s="4"/>
      <c r="G256" s="85">
        <f t="shared" si="14"/>
        <v>1</v>
      </c>
      <c r="H256" s="85" t="str">
        <f t="shared" si="13"/>
        <v>13.23</v>
      </c>
      <c r="I256" s="100"/>
      <c r="J256" s="91"/>
      <c r="K256" s="92" t="s">
        <v>126</v>
      </c>
      <c r="L256" s="92"/>
      <c r="M256" s="91"/>
      <c r="N256" s="92" t="s">
        <v>136</v>
      </c>
      <c r="O256" s="99"/>
      <c r="P256" s="93"/>
      <c r="Q256" s="5"/>
      <c r="R256" s="5"/>
      <c r="S256" s="84"/>
      <c r="U256" s="5"/>
      <c r="V256" s="5"/>
    </row>
    <row r="257" spans="5:22" ht="36" customHeight="1" thickBot="1" x14ac:dyDescent="0.3">
      <c r="E257" s="4"/>
      <c r="G257" s="85">
        <f t="shared" si="14"/>
        <v>1</v>
      </c>
      <c r="H257" s="85" t="str">
        <f t="shared" si="13"/>
        <v>13.24</v>
      </c>
      <c r="I257" s="100"/>
      <c r="J257" s="91"/>
      <c r="K257" s="92" t="s">
        <v>126</v>
      </c>
      <c r="L257" s="92"/>
      <c r="M257" s="91"/>
      <c r="N257" s="92" t="s">
        <v>137</v>
      </c>
      <c r="O257" s="99"/>
      <c r="P257" s="93"/>
      <c r="Q257" s="5"/>
      <c r="R257" s="5"/>
      <c r="S257" s="84"/>
      <c r="U257" s="5"/>
      <c r="V257" s="5"/>
    </row>
    <row r="258" spans="5:22" ht="36" customHeight="1" thickBot="1" x14ac:dyDescent="0.3">
      <c r="E258" s="4"/>
      <c r="G258" s="85">
        <f t="shared" si="14"/>
        <v>1</v>
      </c>
      <c r="H258" s="85" t="str">
        <f t="shared" si="13"/>
        <v>13.25</v>
      </c>
      <c r="I258" s="100"/>
      <c r="J258" s="91"/>
      <c r="K258" s="92" t="s">
        <v>126</v>
      </c>
      <c r="L258" s="92"/>
      <c r="M258" s="91"/>
      <c r="N258" s="92" t="s">
        <v>138</v>
      </c>
      <c r="O258" s="99"/>
      <c r="P258" s="93"/>
      <c r="Q258" s="5"/>
      <c r="R258" s="5"/>
      <c r="S258" s="84"/>
      <c r="U258" s="5"/>
      <c r="V258" s="5"/>
    </row>
    <row r="259" spans="5:22" ht="36" customHeight="1" thickBot="1" x14ac:dyDescent="0.3">
      <c r="E259" s="4"/>
      <c r="G259" s="85">
        <f t="shared" si="14"/>
        <v>1</v>
      </c>
      <c r="H259" s="85" t="str">
        <f t="shared" si="13"/>
        <v>13.26</v>
      </c>
      <c r="I259" s="100"/>
      <c r="J259" s="91"/>
      <c r="K259" s="92" t="s">
        <v>126</v>
      </c>
      <c r="L259" s="92"/>
      <c r="M259" s="91"/>
      <c r="N259" s="92" t="s">
        <v>139</v>
      </c>
      <c r="O259" s="99"/>
      <c r="P259" s="93"/>
      <c r="Q259" s="5"/>
      <c r="R259" s="5"/>
      <c r="S259" s="84"/>
      <c r="U259" s="5"/>
      <c r="V259" s="5"/>
    </row>
    <row r="260" spans="5:22" ht="36" customHeight="1" thickBot="1" x14ac:dyDescent="0.3">
      <c r="E260" s="4"/>
      <c r="G260" s="85">
        <f t="shared" si="14"/>
        <v>1</v>
      </c>
      <c r="H260" s="85" t="str">
        <f t="shared" si="13"/>
        <v>14.17</v>
      </c>
      <c r="I260" s="100"/>
      <c r="J260" s="91"/>
      <c r="K260" s="92" t="s">
        <v>127</v>
      </c>
      <c r="L260" s="92"/>
      <c r="M260" s="91"/>
      <c r="N260" s="92" t="s">
        <v>130</v>
      </c>
      <c r="O260" s="99"/>
      <c r="P260" s="93"/>
      <c r="Q260" s="5"/>
      <c r="R260" s="5"/>
      <c r="S260" s="84"/>
      <c r="U260" s="5"/>
      <c r="V260" s="5"/>
    </row>
    <row r="261" spans="5:22" ht="36" customHeight="1" thickBot="1" x14ac:dyDescent="0.3">
      <c r="E261" s="4"/>
      <c r="G261" s="85">
        <f t="shared" si="14"/>
        <v>1</v>
      </c>
      <c r="H261" s="85" t="str">
        <f t="shared" si="13"/>
        <v>14.18</v>
      </c>
      <c r="I261" s="100"/>
      <c r="J261" s="91"/>
      <c r="K261" s="92" t="s">
        <v>127</v>
      </c>
      <c r="L261" s="92"/>
      <c r="M261" s="91"/>
      <c r="N261" s="92" t="s">
        <v>131</v>
      </c>
      <c r="O261" s="99"/>
      <c r="P261" s="93"/>
      <c r="Q261" s="5"/>
      <c r="R261" s="5"/>
      <c r="S261" s="84"/>
      <c r="U261" s="5"/>
      <c r="V261" s="5"/>
    </row>
    <row r="262" spans="5:22" ht="36" customHeight="1" thickBot="1" x14ac:dyDescent="0.3">
      <c r="E262" s="4"/>
      <c r="G262" s="85">
        <f t="shared" si="14"/>
        <v>1</v>
      </c>
      <c r="H262" s="85" t="str">
        <f t="shared" si="13"/>
        <v>14.19</v>
      </c>
      <c r="I262" s="100"/>
      <c r="J262" s="91"/>
      <c r="K262" s="92" t="s">
        <v>127</v>
      </c>
      <c r="L262" s="92"/>
      <c r="M262" s="91"/>
      <c r="N262" s="92" t="s">
        <v>132</v>
      </c>
      <c r="O262" s="99"/>
      <c r="P262" s="93"/>
      <c r="Q262" s="5"/>
      <c r="R262" s="5"/>
      <c r="S262" s="84"/>
      <c r="U262" s="5"/>
      <c r="V262" s="5"/>
    </row>
    <row r="263" spans="5:22" ht="36" customHeight="1" thickBot="1" x14ac:dyDescent="0.3">
      <c r="E263" s="4"/>
      <c r="G263" s="85">
        <f t="shared" si="14"/>
        <v>1</v>
      </c>
      <c r="H263" s="85" t="str">
        <f t="shared" si="13"/>
        <v>14.20</v>
      </c>
      <c r="I263" s="100"/>
      <c r="J263" s="91"/>
      <c r="K263" s="92" t="s">
        <v>127</v>
      </c>
      <c r="L263" s="92"/>
      <c r="M263" s="91"/>
      <c r="N263" s="92" t="s">
        <v>133</v>
      </c>
      <c r="O263" s="99"/>
      <c r="P263" s="93"/>
      <c r="Q263" s="5"/>
      <c r="R263" s="5"/>
      <c r="S263" s="84"/>
      <c r="U263" s="5"/>
      <c r="V263" s="5"/>
    </row>
    <row r="264" spans="5:22" ht="36" customHeight="1" thickBot="1" x14ac:dyDescent="0.3">
      <c r="E264" s="4"/>
      <c r="G264" s="85">
        <f t="shared" si="14"/>
        <v>1</v>
      </c>
      <c r="H264" s="85" t="str">
        <f t="shared" si="13"/>
        <v>14.21</v>
      </c>
      <c r="I264" s="100"/>
      <c r="J264" s="91"/>
      <c r="K264" s="92" t="s">
        <v>127</v>
      </c>
      <c r="L264" s="92"/>
      <c r="M264" s="91"/>
      <c r="N264" s="92" t="s">
        <v>134</v>
      </c>
      <c r="O264" s="99"/>
      <c r="P264" s="93"/>
      <c r="Q264" s="5"/>
      <c r="R264" s="5"/>
      <c r="S264" s="84"/>
      <c r="U264" s="5"/>
      <c r="V264" s="5"/>
    </row>
    <row r="265" spans="5:22" ht="36" customHeight="1" thickBot="1" x14ac:dyDescent="0.3">
      <c r="E265" s="4"/>
      <c r="G265" s="85">
        <f t="shared" si="14"/>
        <v>1</v>
      </c>
      <c r="H265" s="85" t="str">
        <f t="shared" si="13"/>
        <v>14.22</v>
      </c>
      <c r="I265" s="100"/>
      <c r="J265" s="91"/>
      <c r="K265" s="92" t="s">
        <v>127</v>
      </c>
      <c r="L265" s="92"/>
      <c r="M265" s="91"/>
      <c r="N265" s="92" t="s">
        <v>286</v>
      </c>
      <c r="O265" s="99"/>
      <c r="P265" s="93"/>
      <c r="Q265" s="5"/>
      <c r="R265" s="5"/>
      <c r="S265" s="84"/>
      <c r="U265" s="5"/>
      <c r="V265" s="5"/>
    </row>
    <row r="266" spans="5:22" ht="36" customHeight="1" thickBot="1" x14ac:dyDescent="0.3">
      <c r="E266" s="4"/>
      <c r="G266" s="85">
        <f t="shared" si="14"/>
        <v>1</v>
      </c>
      <c r="H266" s="85" t="str">
        <f t="shared" si="13"/>
        <v>14.23</v>
      </c>
      <c r="I266" s="100"/>
      <c r="J266" s="91"/>
      <c r="K266" s="92" t="s">
        <v>127</v>
      </c>
      <c r="L266" s="92"/>
      <c r="M266" s="91"/>
      <c r="N266" s="92" t="s">
        <v>136</v>
      </c>
      <c r="O266" s="99"/>
      <c r="P266" s="93"/>
      <c r="Q266" s="5"/>
      <c r="R266" s="5"/>
      <c r="S266" s="84"/>
      <c r="U266" s="5"/>
      <c r="V266" s="5"/>
    </row>
    <row r="267" spans="5:22" ht="36" customHeight="1" thickBot="1" x14ac:dyDescent="0.3">
      <c r="E267" s="4"/>
      <c r="G267" s="85">
        <f t="shared" si="14"/>
        <v>1</v>
      </c>
      <c r="H267" s="85" t="str">
        <f t="shared" si="13"/>
        <v>14.24</v>
      </c>
      <c r="I267" s="100"/>
      <c r="J267" s="91"/>
      <c r="K267" s="92" t="s">
        <v>127</v>
      </c>
      <c r="L267" s="92"/>
      <c r="M267" s="91"/>
      <c r="N267" s="92" t="s">
        <v>137</v>
      </c>
      <c r="O267" s="99"/>
      <c r="P267" s="93"/>
      <c r="Q267" s="5"/>
      <c r="R267" s="5"/>
      <c r="S267" s="84"/>
      <c r="U267" s="5"/>
      <c r="V267" s="5"/>
    </row>
    <row r="268" spans="5:22" ht="36" customHeight="1" thickBot="1" x14ac:dyDescent="0.3">
      <c r="E268" s="4"/>
      <c r="G268" s="85">
        <f t="shared" si="14"/>
        <v>1</v>
      </c>
      <c r="H268" s="85" t="str">
        <f t="shared" si="13"/>
        <v>14.25</v>
      </c>
      <c r="I268" s="100"/>
      <c r="J268" s="91"/>
      <c r="K268" s="92" t="s">
        <v>127</v>
      </c>
      <c r="L268" s="92"/>
      <c r="M268" s="91"/>
      <c r="N268" s="92" t="s">
        <v>138</v>
      </c>
      <c r="O268" s="99"/>
      <c r="P268" s="93"/>
      <c r="Q268" s="5"/>
      <c r="R268" s="5"/>
      <c r="S268" s="84"/>
      <c r="U268" s="5"/>
      <c r="V268" s="5"/>
    </row>
    <row r="269" spans="5:22" ht="36" customHeight="1" thickBot="1" x14ac:dyDescent="0.3">
      <c r="E269" s="4"/>
      <c r="G269" s="85">
        <f t="shared" si="14"/>
        <v>1</v>
      </c>
      <c r="H269" s="85" t="str">
        <f t="shared" si="13"/>
        <v>14.26</v>
      </c>
      <c r="I269" s="100"/>
      <c r="J269" s="91"/>
      <c r="K269" s="92" t="s">
        <v>127</v>
      </c>
      <c r="L269" s="92"/>
      <c r="M269" s="91"/>
      <c r="N269" s="92" t="s">
        <v>139</v>
      </c>
      <c r="O269" s="99"/>
      <c r="P269" s="93"/>
      <c r="Q269" s="5"/>
      <c r="R269" s="5"/>
      <c r="S269" s="84"/>
      <c r="U269" s="5"/>
      <c r="V269" s="5"/>
    </row>
    <row r="270" spans="5:22" ht="36" customHeight="1" thickBot="1" x14ac:dyDescent="0.3">
      <c r="E270" s="4"/>
      <c r="G270" s="85">
        <f t="shared" si="14"/>
        <v>1</v>
      </c>
      <c r="H270" s="85" t="str">
        <f t="shared" si="13"/>
        <v>15.17</v>
      </c>
      <c r="I270" s="100"/>
      <c r="J270" s="91"/>
      <c r="K270" s="92" t="s">
        <v>128</v>
      </c>
      <c r="L270" s="92"/>
      <c r="M270" s="91"/>
      <c r="N270" s="92" t="s">
        <v>130</v>
      </c>
      <c r="O270" s="99"/>
      <c r="P270" s="93"/>
      <c r="Q270" s="5"/>
      <c r="R270" s="5"/>
      <c r="S270" s="84"/>
      <c r="U270" s="5"/>
      <c r="V270" s="5"/>
    </row>
    <row r="271" spans="5:22" ht="36" customHeight="1" thickBot="1" x14ac:dyDescent="0.3">
      <c r="E271" s="4"/>
      <c r="G271" s="85">
        <f t="shared" si="14"/>
        <v>1</v>
      </c>
      <c r="H271" s="85" t="str">
        <f t="shared" si="13"/>
        <v>15.18</v>
      </c>
      <c r="I271" s="100"/>
      <c r="J271" s="91"/>
      <c r="K271" s="92" t="s">
        <v>128</v>
      </c>
      <c r="L271" s="92"/>
      <c r="M271" s="91"/>
      <c r="N271" s="92" t="s">
        <v>131</v>
      </c>
      <c r="O271" s="99"/>
      <c r="P271" s="93"/>
      <c r="Q271" s="5"/>
      <c r="R271" s="5"/>
      <c r="S271" s="84"/>
      <c r="U271" s="5"/>
      <c r="V271" s="5"/>
    </row>
    <row r="272" spans="5:22" ht="36" customHeight="1" thickBot="1" x14ac:dyDescent="0.3">
      <c r="E272" s="4"/>
      <c r="G272" s="85">
        <f t="shared" si="14"/>
        <v>1</v>
      </c>
      <c r="H272" s="85" t="str">
        <f t="shared" ref="H272:H333" si="15">TEXT(INDEX($A$2:$A$27,MATCH(K272,$K$2:$K$27,0)),"00")&amp;"."&amp;TEXT(INDEX($A$2:$A$27,MATCH(N272,$K$2:$K$27,0)),"00")</f>
        <v>15.19</v>
      </c>
      <c r="I272" s="100"/>
      <c r="J272" s="91"/>
      <c r="K272" s="92" t="s">
        <v>128</v>
      </c>
      <c r="L272" s="92"/>
      <c r="M272" s="91"/>
      <c r="N272" s="92" t="s">
        <v>132</v>
      </c>
      <c r="O272" s="99"/>
      <c r="P272" s="93"/>
      <c r="Q272" s="5"/>
      <c r="R272" s="5"/>
      <c r="S272" s="84"/>
      <c r="U272" s="5"/>
      <c r="V272" s="5"/>
    </row>
    <row r="273" spans="5:22" ht="36" customHeight="1" thickBot="1" x14ac:dyDescent="0.3">
      <c r="E273" s="4"/>
      <c r="G273" s="85">
        <f t="shared" si="14"/>
        <v>1</v>
      </c>
      <c r="H273" s="85" t="str">
        <f t="shared" si="15"/>
        <v>15.20</v>
      </c>
      <c r="I273" s="100"/>
      <c r="J273" s="91"/>
      <c r="K273" s="92" t="s">
        <v>128</v>
      </c>
      <c r="L273" s="92"/>
      <c r="M273" s="91"/>
      <c r="N273" s="92" t="s">
        <v>133</v>
      </c>
      <c r="O273" s="99"/>
      <c r="P273" s="93"/>
      <c r="Q273" s="5"/>
      <c r="R273" s="5"/>
      <c r="S273" s="84"/>
      <c r="U273" s="5"/>
      <c r="V273" s="5"/>
    </row>
    <row r="274" spans="5:22" ht="36" customHeight="1" thickBot="1" x14ac:dyDescent="0.3">
      <c r="E274" s="4"/>
      <c r="G274" s="85">
        <f t="shared" si="14"/>
        <v>1</v>
      </c>
      <c r="H274" s="85" t="str">
        <f t="shared" si="15"/>
        <v>15.21</v>
      </c>
      <c r="I274" s="100"/>
      <c r="J274" s="91"/>
      <c r="K274" s="92" t="s">
        <v>128</v>
      </c>
      <c r="L274" s="92"/>
      <c r="M274" s="91"/>
      <c r="N274" s="92" t="s">
        <v>134</v>
      </c>
      <c r="O274" s="99"/>
      <c r="P274" s="93"/>
      <c r="Q274" s="5"/>
      <c r="R274" s="5"/>
      <c r="S274" s="84"/>
      <c r="U274" s="5"/>
      <c r="V274" s="5"/>
    </row>
    <row r="275" spans="5:22" ht="36" customHeight="1" thickBot="1" x14ac:dyDescent="0.3">
      <c r="E275" s="4"/>
      <c r="G275" s="85">
        <f t="shared" si="14"/>
        <v>1</v>
      </c>
      <c r="H275" s="85" t="str">
        <f t="shared" si="15"/>
        <v>15.22</v>
      </c>
      <c r="I275" s="100"/>
      <c r="J275" s="91"/>
      <c r="K275" s="92" t="s">
        <v>128</v>
      </c>
      <c r="L275" s="92"/>
      <c r="M275" s="91"/>
      <c r="N275" s="92" t="s">
        <v>286</v>
      </c>
      <c r="O275" s="99"/>
      <c r="P275" s="93"/>
      <c r="Q275" s="5"/>
      <c r="R275" s="5"/>
      <c r="S275" s="84"/>
      <c r="U275" s="5"/>
      <c r="V275" s="5"/>
    </row>
    <row r="276" spans="5:22" ht="36" customHeight="1" thickBot="1" x14ac:dyDescent="0.3">
      <c r="E276" s="4"/>
      <c r="G276" s="85">
        <f t="shared" si="14"/>
        <v>1</v>
      </c>
      <c r="H276" s="85" t="str">
        <f t="shared" si="15"/>
        <v>15.23</v>
      </c>
      <c r="I276" s="100"/>
      <c r="J276" s="91"/>
      <c r="K276" s="92" t="s">
        <v>128</v>
      </c>
      <c r="L276" s="92"/>
      <c r="M276" s="91"/>
      <c r="N276" s="92" t="s">
        <v>136</v>
      </c>
      <c r="O276" s="99"/>
      <c r="P276" s="93"/>
      <c r="Q276" s="5"/>
      <c r="R276" s="5"/>
      <c r="S276" s="84"/>
      <c r="U276" s="5"/>
      <c r="V276" s="5"/>
    </row>
    <row r="277" spans="5:22" ht="36" customHeight="1" thickBot="1" x14ac:dyDescent="0.3">
      <c r="E277" s="4"/>
      <c r="G277" s="85">
        <f t="shared" si="14"/>
        <v>1</v>
      </c>
      <c r="H277" s="85" t="str">
        <f t="shared" si="15"/>
        <v>15.24</v>
      </c>
      <c r="I277" s="100"/>
      <c r="J277" s="91"/>
      <c r="K277" s="92" t="s">
        <v>128</v>
      </c>
      <c r="L277" s="92"/>
      <c r="M277" s="91"/>
      <c r="N277" s="92" t="s">
        <v>137</v>
      </c>
      <c r="O277" s="99"/>
      <c r="P277" s="93"/>
      <c r="Q277" s="5"/>
      <c r="R277" s="5"/>
      <c r="S277" s="84"/>
      <c r="U277" s="5"/>
      <c r="V277" s="5"/>
    </row>
    <row r="278" spans="5:22" ht="36" customHeight="1" thickBot="1" x14ac:dyDescent="0.3">
      <c r="E278" s="4"/>
      <c r="G278" s="85">
        <f t="shared" si="14"/>
        <v>1</v>
      </c>
      <c r="H278" s="85" t="str">
        <f t="shared" si="15"/>
        <v>15.25</v>
      </c>
      <c r="I278" s="100"/>
      <c r="J278" s="91"/>
      <c r="K278" s="92" t="s">
        <v>128</v>
      </c>
      <c r="L278" s="92"/>
      <c r="M278" s="91"/>
      <c r="N278" s="92" t="s">
        <v>138</v>
      </c>
      <c r="O278" s="99"/>
      <c r="P278" s="93"/>
      <c r="Q278" s="5"/>
      <c r="R278" s="5"/>
      <c r="S278" s="84"/>
      <c r="U278" s="5"/>
      <c r="V278" s="5"/>
    </row>
    <row r="279" spans="5:22" ht="36" customHeight="1" thickBot="1" x14ac:dyDescent="0.3">
      <c r="E279" s="4"/>
      <c r="G279" s="85">
        <f t="shared" si="14"/>
        <v>1</v>
      </c>
      <c r="H279" s="85" t="str">
        <f t="shared" si="15"/>
        <v>15.26</v>
      </c>
      <c r="I279" s="100"/>
      <c r="J279" s="91"/>
      <c r="K279" s="92" t="s">
        <v>128</v>
      </c>
      <c r="L279" s="92"/>
      <c r="M279" s="91"/>
      <c r="N279" s="92" t="s">
        <v>139</v>
      </c>
      <c r="O279" s="99"/>
      <c r="P279" s="93"/>
      <c r="Q279" s="5"/>
      <c r="R279" s="5"/>
      <c r="S279" s="84"/>
      <c r="U279" s="5"/>
      <c r="V279" s="5"/>
    </row>
    <row r="280" spans="5:22" ht="36" customHeight="1" thickBot="1" x14ac:dyDescent="0.3">
      <c r="E280" s="4"/>
      <c r="G280" s="85">
        <f t="shared" si="14"/>
        <v>1</v>
      </c>
      <c r="H280" s="85" t="str">
        <f t="shared" si="15"/>
        <v>16.17</v>
      </c>
      <c r="I280" s="100"/>
      <c r="J280" s="91"/>
      <c r="K280" s="92" t="s">
        <v>129</v>
      </c>
      <c r="L280" s="92"/>
      <c r="M280" s="91"/>
      <c r="N280" s="92" t="s">
        <v>130</v>
      </c>
      <c r="O280" s="99"/>
      <c r="P280" s="93"/>
      <c r="Q280" s="5"/>
      <c r="R280" s="5"/>
      <c r="S280" s="84"/>
      <c r="U280" s="5"/>
      <c r="V280" s="5"/>
    </row>
    <row r="281" spans="5:22" ht="36" customHeight="1" thickBot="1" x14ac:dyDescent="0.3">
      <c r="E281" s="4"/>
      <c r="G281" s="85">
        <f t="shared" si="14"/>
        <v>1</v>
      </c>
      <c r="H281" s="85" t="str">
        <f t="shared" si="15"/>
        <v>16.18</v>
      </c>
      <c r="I281" s="100"/>
      <c r="J281" s="91"/>
      <c r="K281" s="92" t="s">
        <v>129</v>
      </c>
      <c r="L281" s="92"/>
      <c r="M281" s="91"/>
      <c r="N281" s="92" t="s">
        <v>131</v>
      </c>
      <c r="O281" s="99"/>
      <c r="P281" s="93"/>
      <c r="Q281" s="5"/>
      <c r="R281" s="5"/>
      <c r="S281" s="84"/>
      <c r="U281" s="5"/>
      <c r="V281" s="5"/>
    </row>
    <row r="282" spans="5:22" ht="36" customHeight="1" thickBot="1" x14ac:dyDescent="0.3">
      <c r="E282" s="4"/>
      <c r="G282" s="85">
        <f t="shared" si="14"/>
        <v>1</v>
      </c>
      <c r="H282" s="85" t="str">
        <f t="shared" si="15"/>
        <v>16.19</v>
      </c>
      <c r="I282" s="100"/>
      <c r="J282" s="91"/>
      <c r="K282" s="92" t="s">
        <v>129</v>
      </c>
      <c r="L282" s="92"/>
      <c r="M282" s="91"/>
      <c r="N282" s="92" t="s">
        <v>132</v>
      </c>
      <c r="O282" s="99"/>
      <c r="P282" s="93"/>
      <c r="Q282" s="5"/>
      <c r="R282" s="5"/>
      <c r="S282" s="84"/>
      <c r="U282" s="5"/>
      <c r="V282" s="5"/>
    </row>
    <row r="283" spans="5:22" ht="36" customHeight="1" thickBot="1" x14ac:dyDescent="0.3">
      <c r="E283" s="4"/>
      <c r="G283" s="85">
        <f t="shared" si="14"/>
        <v>1</v>
      </c>
      <c r="H283" s="85" t="str">
        <f t="shared" si="15"/>
        <v>16.20</v>
      </c>
      <c r="I283" s="100"/>
      <c r="J283" s="91"/>
      <c r="K283" s="92" t="s">
        <v>129</v>
      </c>
      <c r="L283" s="92"/>
      <c r="M283" s="91"/>
      <c r="N283" s="92" t="s">
        <v>133</v>
      </c>
      <c r="O283" s="99"/>
      <c r="P283" s="93"/>
      <c r="Q283" s="5"/>
      <c r="R283" s="5"/>
      <c r="S283" s="84"/>
      <c r="U283" s="5"/>
      <c r="V283" s="5"/>
    </row>
    <row r="284" spans="5:22" ht="36" customHeight="1" thickBot="1" x14ac:dyDescent="0.3">
      <c r="E284" s="4"/>
      <c r="G284" s="85">
        <f t="shared" si="14"/>
        <v>1</v>
      </c>
      <c r="H284" s="85" t="str">
        <f t="shared" si="15"/>
        <v>16.21</v>
      </c>
      <c r="I284" s="100"/>
      <c r="J284" s="91"/>
      <c r="K284" s="92" t="s">
        <v>129</v>
      </c>
      <c r="L284" s="92"/>
      <c r="M284" s="91"/>
      <c r="N284" s="92" t="s">
        <v>134</v>
      </c>
      <c r="O284" s="99"/>
      <c r="P284" s="93"/>
      <c r="Q284" s="5"/>
      <c r="R284" s="5"/>
      <c r="S284" s="84"/>
      <c r="U284" s="5"/>
      <c r="V284" s="5"/>
    </row>
    <row r="285" spans="5:22" ht="36" customHeight="1" thickBot="1" x14ac:dyDescent="0.3">
      <c r="E285" s="4"/>
      <c r="G285" s="85">
        <f t="shared" si="14"/>
        <v>1</v>
      </c>
      <c r="H285" s="85" t="str">
        <f t="shared" si="15"/>
        <v>16.22</v>
      </c>
      <c r="I285" s="100"/>
      <c r="J285" s="91"/>
      <c r="K285" s="92" t="s">
        <v>129</v>
      </c>
      <c r="L285" s="92"/>
      <c r="M285" s="91"/>
      <c r="N285" s="92" t="s">
        <v>286</v>
      </c>
      <c r="O285" s="99"/>
      <c r="P285" s="93"/>
      <c r="Q285" s="5"/>
      <c r="R285" s="5"/>
      <c r="S285" s="84"/>
      <c r="U285" s="5"/>
      <c r="V285" s="5"/>
    </row>
    <row r="286" spans="5:22" ht="36" customHeight="1" thickBot="1" x14ac:dyDescent="0.3">
      <c r="E286" s="4"/>
      <c r="G286" s="85">
        <f t="shared" si="14"/>
        <v>1</v>
      </c>
      <c r="H286" s="85" t="str">
        <f t="shared" si="15"/>
        <v>16.23</v>
      </c>
      <c r="I286" s="100"/>
      <c r="J286" s="91"/>
      <c r="K286" s="92" t="s">
        <v>129</v>
      </c>
      <c r="L286" s="92"/>
      <c r="M286" s="91"/>
      <c r="N286" s="92" t="s">
        <v>136</v>
      </c>
      <c r="O286" s="99"/>
      <c r="P286" s="93"/>
      <c r="Q286" s="5"/>
      <c r="R286" s="5"/>
      <c r="S286" s="84"/>
      <c r="U286" s="5"/>
      <c r="V286" s="5"/>
    </row>
    <row r="287" spans="5:22" ht="36" customHeight="1" thickBot="1" x14ac:dyDescent="0.3">
      <c r="E287" s="4"/>
      <c r="G287" s="85">
        <f t="shared" si="14"/>
        <v>1</v>
      </c>
      <c r="H287" s="85" t="str">
        <f t="shared" si="15"/>
        <v>16.24</v>
      </c>
      <c r="I287" s="100"/>
      <c r="J287" s="91"/>
      <c r="K287" s="92" t="s">
        <v>129</v>
      </c>
      <c r="L287" s="92"/>
      <c r="M287" s="91"/>
      <c r="N287" s="92" t="s">
        <v>137</v>
      </c>
      <c r="O287" s="99"/>
      <c r="P287" s="93"/>
      <c r="Q287" s="5"/>
      <c r="R287" s="5"/>
      <c r="S287" s="84"/>
      <c r="U287" s="5"/>
      <c r="V287" s="5"/>
    </row>
    <row r="288" spans="5:22" ht="36" customHeight="1" thickBot="1" x14ac:dyDescent="0.3">
      <c r="E288" s="4"/>
      <c r="G288" s="85">
        <f t="shared" si="14"/>
        <v>1</v>
      </c>
      <c r="H288" s="85" t="str">
        <f t="shared" si="15"/>
        <v>16.25</v>
      </c>
      <c r="I288" s="100"/>
      <c r="J288" s="91"/>
      <c r="K288" s="92" t="s">
        <v>129</v>
      </c>
      <c r="L288" s="92"/>
      <c r="M288" s="91"/>
      <c r="N288" s="92" t="s">
        <v>138</v>
      </c>
      <c r="O288" s="99"/>
      <c r="P288" s="93"/>
      <c r="Q288" s="5"/>
      <c r="R288" s="5"/>
      <c r="S288" s="84"/>
      <c r="U288" s="5"/>
      <c r="V288" s="5"/>
    </row>
    <row r="289" spans="5:22" ht="36" customHeight="1" thickBot="1" x14ac:dyDescent="0.3">
      <c r="E289" s="4"/>
      <c r="G289" s="85">
        <f t="shared" si="14"/>
        <v>1</v>
      </c>
      <c r="H289" s="85" t="str">
        <f t="shared" si="15"/>
        <v>16.26</v>
      </c>
      <c r="I289" s="100"/>
      <c r="J289" s="91"/>
      <c r="K289" s="92" t="s">
        <v>129</v>
      </c>
      <c r="L289" s="92"/>
      <c r="M289" s="91"/>
      <c r="N289" s="92" t="s">
        <v>139</v>
      </c>
      <c r="O289" s="99"/>
      <c r="P289" s="93"/>
      <c r="Q289" s="5"/>
      <c r="R289" s="5"/>
      <c r="S289" s="84"/>
      <c r="U289" s="5"/>
      <c r="V289" s="5"/>
    </row>
    <row r="290" spans="5:22" ht="36" customHeight="1" thickBot="1" x14ac:dyDescent="0.3">
      <c r="E290" s="4"/>
      <c r="G290" s="85">
        <f t="shared" si="14"/>
        <v>1</v>
      </c>
      <c r="H290" s="85" t="str">
        <f t="shared" si="15"/>
        <v>17.18</v>
      </c>
      <c r="I290" s="100"/>
      <c r="J290" s="91"/>
      <c r="K290" s="92" t="s">
        <v>130</v>
      </c>
      <c r="L290" s="92"/>
      <c r="M290" s="91"/>
      <c r="N290" s="92" t="s">
        <v>131</v>
      </c>
      <c r="O290" s="99"/>
      <c r="P290" s="93"/>
      <c r="Q290" s="5"/>
      <c r="R290" s="5"/>
      <c r="S290" s="84"/>
      <c r="U290" s="5"/>
      <c r="V290" s="5"/>
    </row>
    <row r="291" spans="5:22" ht="36" customHeight="1" thickBot="1" x14ac:dyDescent="0.3">
      <c r="E291" s="4"/>
      <c r="G291" s="85">
        <f t="shared" si="14"/>
        <v>1</v>
      </c>
      <c r="H291" s="85" t="str">
        <f t="shared" si="15"/>
        <v>17.19</v>
      </c>
      <c r="I291" s="100"/>
      <c r="J291" s="91"/>
      <c r="K291" s="92" t="s">
        <v>130</v>
      </c>
      <c r="L291" s="92"/>
      <c r="M291" s="91"/>
      <c r="N291" s="92" t="s">
        <v>132</v>
      </c>
      <c r="O291" s="99"/>
      <c r="P291" s="93"/>
      <c r="Q291" s="5"/>
      <c r="R291" s="5"/>
      <c r="S291" s="84"/>
      <c r="U291" s="5"/>
      <c r="V291" s="5"/>
    </row>
    <row r="292" spans="5:22" ht="36" customHeight="1" thickBot="1" x14ac:dyDescent="0.3">
      <c r="E292" s="4"/>
      <c r="G292" s="85" t="str">
        <f t="shared" si="14"/>
        <v/>
      </c>
      <c r="H292" s="85" t="str">
        <f t="shared" si="15"/>
        <v>17.20</v>
      </c>
      <c r="I292" s="100"/>
      <c r="J292" s="91"/>
      <c r="K292" s="92" t="s">
        <v>130</v>
      </c>
      <c r="L292" s="92"/>
      <c r="M292" s="91"/>
      <c r="N292" s="92" t="s">
        <v>133</v>
      </c>
      <c r="O292" s="99"/>
      <c r="P292" s="93"/>
      <c r="Q292" s="5"/>
      <c r="R292" s="5"/>
      <c r="S292" s="84"/>
      <c r="U292" s="5"/>
      <c r="V292" s="5"/>
    </row>
    <row r="293" spans="5:22" ht="36" customHeight="1" thickBot="1" x14ac:dyDescent="0.3">
      <c r="E293" s="4"/>
      <c r="G293" s="85">
        <f t="shared" si="14"/>
        <v>1</v>
      </c>
      <c r="H293" s="85" t="str">
        <f t="shared" si="15"/>
        <v>17.21</v>
      </c>
      <c r="I293" s="100"/>
      <c r="J293" s="91"/>
      <c r="K293" s="92" t="s">
        <v>130</v>
      </c>
      <c r="L293" s="92"/>
      <c r="M293" s="91"/>
      <c r="N293" s="92" t="s">
        <v>134</v>
      </c>
      <c r="O293" s="99"/>
      <c r="P293" s="93"/>
      <c r="Q293" s="5"/>
      <c r="R293" s="5"/>
      <c r="S293" s="84"/>
      <c r="U293" s="5"/>
      <c r="V293" s="5"/>
    </row>
    <row r="294" spans="5:22" ht="36" customHeight="1" thickBot="1" x14ac:dyDescent="0.3">
      <c r="E294" s="4"/>
      <c r="G294" s="85">
        <f t="shared" si="14"/>
        <v>1</v>
      </c>
      <c r="H294" s="85" t="str">
        <f t="shared" si="15"/>
        <v>17.22</v>
      </c>
      <c r="I294" s="100"/>
      <c r="J294" s="91"/>
      <c r="K294" s="92" t="s">
        <v>130</v>
      </c>
      <c r="L294" s="92"/>
      <c r="M294" s="91"/>
      <c r="N294" s="92" t="s">
        <v>286</v>
      </c>
      <c r="O294" s="99"/>
      <c r="P294" s="93"/>
      <c r="Q294" s="5"/>
      <c r="R294" s="5"/>
      <c r="S294" s="84"/>
      <c r="U294" s="5"/>
      <c r="V294" s="5"/>
    </row>
    <row r="295" spans="5:22" ht="36" customHeight="1" thickBot="1" x14ac:dyDescent="0.3">
      <c r="E295" s="4"/>
      <c r="G295" s="85">
        <f t="shared" si="14"/>
        <v>1</v>
      </c>
      <c r="H295" s="85" t="str">
        <f t="shared" si="15"/>
        <v>17.23</v>
      </c>
      <c r="I295" s="100"/>
      <c r="J295" s="91"/>
      <c r="K295" s="92" t="s">
        <v>130</v>
      </c>
      <c r="L295" s="92"/>
      <c r="M295" s="91"/>
      <c r="N295" s="92" t="s">
        <v>136</v>
      </c>
      <c r="O295" s="99"/>
      <c r="P295" s="93"/>
      <c r="Q295" s="5"/>
      <c r="R295" s="5"/>
      <c r="S295" s="84"/>
      <c r="U295" s="5"/>
      <c r="V295" s="5"/>
    </row>
    <row r="296" spans="5:22" ht="36" customHeight="1" thickBot="1" x14ac:dyDescent="0.3">
      <c r="E296" s="4"/>
      <c r="G296" s="85">
        <f t="shared" si="14"/>
        <v>1</v>
      </c>
      <c r="H296" s="85" t="str">
        <f t="shared" si="15"/>
        <v>17.24</v>
      </c>
      <c r="I296" s="100"/>
      <c r="J296" s="91"/>
      <c r="K296" s="92" t="s">
        <v>130</v>
      </c>
      <c r="L296" s="92"/>
      <c r="M296" s="91"/>
      <c r="N296" s="92" t="s">
        <v>137</v>
      </c>
      <c r="O296" s="99"/>
      <c r="P296" s="93"/>
      <c r="Q296" s="5"/>
      <c r="R296" s="5"/>
      <c r="S296" s="84"/>
      <c r="U296" s="5"/>
      <c r="V296" s="5"/>
    </row>
    <row r="297" spans="5:22" ht="36" customHeight="1" thickBot="1" x14ac:dyDescent="0.3">
      <c r="E297" s="4"/>
      <c r="G297" s="85">
        <f t="shared" si="14"/>
        <v>1</v>
      </c>
      <c r="H297" s="85" t="str">
        <f t="shared" si="15"/>
        <v>17.25</v>
      </c>
      <c r="I297" s="100"/>
      <c r="J297" s="91"/>
      <c r="K297" s="92" t="s">
        <v>130</v>
      </c>
      <c r="L297" s="92"/>
      <c r="M297" s="91"/>
      <c r="N297" s="92" t="s">
        <v>138</v>
      </c>
      <c r="O297" s="99"/>
      <c r="P297" s="93"/>
      <c r="Q297" s="5"/>
      <c r="R297" s="5"/>
      <c r="S297" s="84"/>
      <c r="U297" s="5"/>
      <c r="V297" s="5"/>
    </row>
    <row r="298" spans="5:22" ht="36" customHeight="1" thickBot="1" x14ac:dyDescent="0.3">
      <c r="E298" s="4"/>
      <c r="G298" s="85">
        <f t="shared" si="14"/>
        <v>1</v>
      </c>
      <c r="H298" s="85" t="str">
        <f t="shared" si="15"/>
        <v>17.26</v>
      </c>
      <c r="I298" s="100"/>
      <c r="J298" s="91"/>
      <c r="K298" s="92" t="s">
        <v>130</v>
      </c>
      <c r="L298" s="92"/>
      <c r="M298" s="91"/>
      <c r="N298" s="92" t="s">
        <v>139</v>
      </c>
      <c r="O298" s="99"/>
      <c r="P298" s="93"/>
      <c r="Q298" s="5"/>
      <c r="R298" s="5"/>
      <c r="S298" s="84"/>
      <c r="U298" s="5"/>
      <c r="V298" s="5"/>
    </row>
    <row r="299" spans="5:22" ht="36" customHeight="1" thickBot="1" x14ac:dyDescent="0.3">
      <c r="E299" s="4"/>
      <c r="G299" s="85">
        <f t="shared" si="14"/>
        <v>1</v>
      </c>
      <c r="H299" s="85" t="str">
        <f t="shared" si="15"/>
        <v>18.19</v>
      </c>
      <c r="I299" s="100"/>
      <c r="J299" s="91"/>
      <c r="K299" s="92" t="s">
        <v>131</v>
      </c>
      <c r="L299" s="92"/>
      <c r="M299" s="91"/>
      <c r="N299" s="92" t="s">
        <v>132</v>
      </c>
      <c r="O299" s="99"/>
      <c r="P299" s="93"/>
      <c r="Q299" s="5"/>
      <c r="R299" s="5"/>
      <c r="S299" s="84"/>
      <c r="U299" s="5"/>
      <c r="V299" s="5"/>
    </row>
    <row r="300" spans="5:22" ht="36" customHeight="1" thickBot="1" x14ac:dyDescent="0.3">
      <c r="E300" s="4"/>
      <c r="G300" s="85">
        <f t="shared" si="14"/>
        <v>1</v>
      </c>
      <c r="H300" s="85" t="str">
        <f t="shared" si="15"/>
        <v>18.20</v>
      </c>
      <c r="I300" s="100"/>
      <c r="J300" s="91"/>
      <c r="K300" s="92" t="s">
        <v>131</v>
      </c>
      <c r="L300" s="92"/>
      <c r="M300" s="91"/>
      <c r="N300" s="92" t="s">
        <v>133</v>
      </c>
      <c r="O300" s="99"/>
      <c r="P300" s="93"/>
      <c r="Q300" s="5"/>
      <c r="R300" s="5"/>
      <c r="S300" s="84"/>
      <c r="U300" s="5"/>
      <c r="V300" s="5"/>
    </row>
    <row r="301" spans="5:22" ht="36" customHeight="1" thickBot="1" x14ac:dyDescent="0.3">
      <c r="E301" s="4"/>
      <c r="G301" s="85">
        <f t="shared" si="14"/>
        <v>1</v>
      </c>
      <c r="H301" s="85" t="str">
        <f t="shared" si="15"/>
        <v>18.21</v>
      </c>
      <c r="I301" s="100"/>
      <c r="J301" s="91"/>
      <c r="K301" s="92" t="s">
        <v>131</v>
      </c>
      <c r="L301" s="92"/>
      <c r="M301" s="91"/>
      <c r="N301" s="92" t="s">
        <v>134</v>
      </c>
      <c r="O301" s="99"/>
      <c r="P301" s="93"/>
      <c r="Q301" s="5"/>
      <c r="R301" s="5"/>
      <c r="S301" s="84"/>
      <c r="U301" s="5"/>
      <c r="V301" s="5"/>
    </row>
    <row r="302" spans="5:22" ht="36" customHeight="1" thickBot="1" x14ac:dyDescent="0.3">
      <c r="E302" s="4"/>
      <c r="G302" s="85">
        <f t="shared" si="14"/>
        <v>1</v>
      </c>
      <c r="H302" s="85" t="str">
        <f t="shared" si="15"/>
        <v>18.22</v>
      </c>
      <c r="I302" s="100"/>
      <c r="J302" s="91"/>
      <c r="K302" s="92" t="s">
        <v>131</v>
      </c>
      <c r="L302" s="92"/>
      <c r="M302" s="91"/>
      <c r="N302" s="92" t="s">
        <v>286</v>
      </c>
      <c r="O302" s="99"/>
      <c r="P302" s="93"/>
      <c r="Q302" s="5"/>
      <c r="R302" s="5"/>
      <c r="S302" s="84"/>
      <c r="U302" s="5"/>
      <c r="V302" s="5"/>
    </row>
    <row r="303" spans="5:22" ht="36" customHeight="1" thickBot="1" x14ac:dyDescent="0.3">
      <c r="E303" s="4"/>
      <c r="G303" s="85">
        <f t="shared" si="14"/>
        <v>1</v>
      </c>
      <c r="H303" s="85" t="str">
        <f t="shared" si="15"/>
        <v>18.23</v>
      </c>
      <c r="I303" s="100"/>
      <c r="J303" s="91"/>
      <c r="K303" s="92" t="s">
        <v>131</v>
      </c>
      <c r="L303" s="92"/>
      <c r="M303" s="91"/>
      <c r="N303" s="92" t="s">
        <v>136</v>
      </c>
      <c r="O303" s="99"/>
      <c r="P303" s="93"/>
      <c r="Q303" s="5"/>
      <c r="R303" s="5"/>
      <c r="S303" s="84"/>
      <c r="U303" s="5"/>
      <c r="V303" s="5"/>
    </row>
    <row r="304" spans="5:22" ht="36" customHeight="1" thickBot="1" x14ac:dyDescent="0.3">
      <c r="E304" s="4"/>
      <c r="G304" s="85">
        <f t="shared" si="14"/>
        <v>1</v>
      </c>
      <c r="H304" s="85" t="str">
        <f t="shared" si="15"/>
        <v>18.24</v>
      </c>
      <c r="I304" s="100"/>
      <c r="J304" s="91"/>
      <c r="K304" s="92" t="s">
        <v>131</v>
      </c>
      <c r="L304" s="92"/>
      <c r="M304" s="91"/>
      <c r="N304" s="92" t="s">
        <v>137</v>
      </c>
      <c r="O304" s="99"/>
      <c r="P304" s="93"/>
      <c r="Q304" s="5"/>
      <c r="R304" s="5"/>
      <c r="S304" s="84"/>
      <c r="U304" s="5"/>
      <c r="V304" s="5"/>
    </row>
    <row r="305" spans="5:22" ht="36" customHeight="1" thickBot="1" x14ac:dyDescent="0.3">
      <c r="E305" s="4"/>
      <c r="G305" s="85">
        <f t="shared" si="14"/>
        <v>1</v>
      </c>
      <c r="H305" s="85" t="str">
        <f t="shared" si="15"/>
        <v>18.25</v>
      </c>
      <c r="I305" s="100"/>
      <c r="J305" s="91"/>
      <c r="K305" s="92" t="s">
        <v>131</v>
      </c>
      <c r="L305" s="92"/>
      <c r="M305" s="91"/>
      <c r="N305" s="92" t="s">
        <v>138</v>
      </c>
      <c r="O305" s="99"/>
      <c r="P305" s="93"/>
      <c r="Q305" s="5"/>
      <c r="R305" s="5"/>
      <c r="S305" s="84"/>
      <c r="U305" s="5"/>
      <c r="V305" s="5"/>
    </row>
    <row r="306" spans="5:22" ht="36" customHeight="1" thickBot="1" x14ac:dyDescent="0.3">
      <c r="E306" s="4"/>
      <c r="G306" s="85">
        <f t="shared" si="14"/>
        <v>1</v>
      </c>
      <c r="H306" s="85" t="str">
        <f t="shared" si="15"/>
        <v>18.26</v>
      </c>
      <c r="I306" s="100"/>
      <c r="J306" s="91"/>
      <c r="K306" s="92" t="s">
        <v>131</v>
      </c>
      <c r="L306" s="92"/>
      <c r="M306" s="91"/>
      <c r="N306" s="92" t="s">
        <v>139</v>
      </c>
      <c r="O306" s="99"/>
      <c r="P306" s="93"/>
      <c r="Q306" s="5"/>
      <c r="R306" s="5"/>
      <c r="S306" s="84"/>
      <c r="U306" s="5"/>
      <c r="V306" s="5"/>
    </row>
    <row r="307" spans="5:22" ht="36" customHeight="1" thickBot="1" x14ac:dyDescent="0.3">
      <c r="G307" s="85">
        <f t="shared" si="14"/>
        <v>1</v>
      </c>
      <c r="H307" s="85" t="str">
        <f t="shared" si="15"/>
        <v>19.21</v>
      </c>
      <c r="I307" s="100"/>
      <c r="J307" s="91"/>
      <c r="K307" s="92" t="s">
        <v>132</v>
      </c>
      <c r="L307" s="92"/>
      <c r="M307" s="91"/>
      <c r="N307" s="92" t="s">
        <v>134</v>
      </c>
      <c r="O307" s="99"/>
      <c r="P307" s="93"/>
    </row>
    <row r="308" spans="5:22" ht="36" customHeight="1" thickBot="1" x14ac:dyDescent="0.3">
      <c r="G308" s="85">
        <f t="shared" si="14"/>
        <v>1</v>
      </c>
      <c r="H308" s="85" t="str">
        <f t="shared" si="15"/>
        <v>19.22</v>
      </c>
      <c r="I308" s="100"/>
      <c r="J308" s="91"/>
      <c r="K308" s="92" t="s">
        <v>132</v>
      </c>
      <c r="L308" s="92"/>
      <c r="M308" s="91"/>
      <c r="N308" s="92" t="s">
        <v>286</v>
      </c>
      <c r="O308" s="99"/>
      <c r="P308" s="93"/>
    </row>
    <row r="309" spans="5:22" ht="36" customHeight="1" thickBot="1" x14ac:dyDescent="0.3">
      <c r="G309" s="85">
        <f t="shared" si="14"/>
        <v>1</v>
      </c>
      <c r="H309" s="85" t="str">
        <f t="shared" si="15"/>
        <v>19.23</v>
      </c>
      <c r="I309" s="100"/>
      <c r="J309" s="91"/>
      <c r="K309" s="92" t="s">
        <v>132</v>
      </c>
      <c r="L309" s="92"/>
      <c r="M309" s="91"/>
      <c r="N309" s="92" t="s">
        <v>136</v>
      </c>
      <c r="O309" s="99"/>
      <c r="P309" s="93"/>
    </row>
    <row r="310" spans="5:22" ht="36" customHeight="1" thickBot="1" x14ac:dyDescent="0.3">
      <c r="G310" s="85">
        <f t="shared" si="14"/>
        <v>1</v>
      </c>
      <c r="H310" s="85" t="str">
        <f t="shared" si="15"/>
        <v>19.24</v>
      </c>
      <c r="I310" s="100"/>
      <c r="J310" s="91"/>
      <c r="K310" s="92" t="s">
        <v>132</v>
      </c>
      <c r="L310" s="92"/>
      <c r="M310" s="91"/>
      <c r="N310" s="92" t="s">
        <v>137</v>
      </c>
      <c r="O310" s="99"/>
      <c r="P310" s="93"/>
    </row>
    <row r="311" spans="5:22" ht="36" customHeight="1" thickBot="1" x14ac:dyDescent="0.3">
      <c r="G311" s="85">
        <f t="shared" ref="G311:G333" si="16">IF(OR(
ISNUMBER(SEARCH($H311,$F$2)),ISNUMBER(SEARCH($H311,$F$3)),ISNUMBER(SEARCH($H311,$F$4)),ISNUMBER(SEARCH($H311,$F$5)),ISNUMBER(SEARCH($H311,$F$6)),ISNUMBER(SEARCH($H311,$F$7)),ISNUMBER(SEARCH($H311,$F$8))),"",1)</f>
        <v>1</v>
      </c>
      <c r="H311" s="85" t="str">
        <f t="shared" si="15"/>
        <v>19.25</v>
      </c>
      <c r="I311" s="100"/>
      <c r="J311" s="91"/>
      <c r="K311" s="92" t="s">
        <v>132</v>
      </c>
      <c r="L311" s="92"/>
      <c r="M311" s="91"/>
      <c r="N311" s="92" t="s">
        <v>138</v>
      </c>
      <c r="O311" s="99"/>
      <c r="P311" s="93"/>
    </row>
    <row r="312" spans="5:22" ht="36" customHeight="1" thickBot="1" x14ac:dyDescent="0.3">
      <c r="G312" s="85">
        <f t="shared" si="16"/>
        <v>1</v>
      </c>
      <c r="H312" s="85" t="str">
        <f t="shared" si="15"/>
        <v>19.26</v>
      </c>
      <c r="I312" s="100"/>
      <c r="J312" s="91"/>
      <c r="K312" s="92" t="s">
        <v>132</v>
      </c>
      <c r="L312" s="92"/>
      <c r="M312" s="91"/>
      <c r="N312" s="92" t="s">
        <v>139</v>
      </c>
      <c r="O312" s="99"/>
      <c r="P312" s="93"/>
    </row>
    <row r="313" spans="5:22" ht="36" customHeight="1" thickBot="1" x14ac:dyDescent="0.3">
      <c r="G313" s="85">
        <f t="shared" si="16"/>
        <v>1</v>
      </c>
      <c r="H313" s="85" t="str">
        <f t="shared" si="15"/>
        <v>20.21</v>
      </c>
      <c r="I313" s="100"/>
      <c r="J313" s="91"/>
      <c r="K313" s="92" t="s">
        <v>133</v>
      </c>
      <c r="L313" s="92"/>
      <c r="M313" s="91"/>
      <c r="N313" s="92" t="s">
        <v>134</v>
      </c>
      <c r="O313" s="99"/>
      <c r="P313" s="93"/>
    </row>
    <row r="314" spans="5:22" ht="36" customHeight="1" thickBot="1" x14ac:dyDescent="0.3">
      <c r="G314" s="85">
        <f t="shared" si="16"/>
        <v>1</v>
      </c>
      <c r="H314" s="85" t="str">
        <f t="shared" si="15"/>
        <v>20.22</v>
      </c>
      <c r="I314" s="100"/>
      <c r="J314" s="91"/>
      <c r="K314" s="92" t="s">
        <v>133</v>
      </c>
      <c r="L314" s="92"/>
      <c r="M314" s="91"/>
      <c r="N314" s="92" t="s">
        <v>286</v>
      </c>
      <c r="O314" s="99"/>
      <c r="P314" s="93"/>
    </row>
    <row r="315" spans="5:22" ht="36" customHeight="1" thickBot="1" x14ac:dyDescent="0.3">
      <c r="G315" s="85">
        <f t="shared" si="16"/>
        <v>1</v>
      </c>
      <c r="H315" s="85" t="str">
        <f t="shared" si="15"/>
        <v>20.23</v>
      </c>
      <c r="I315" s="100"/>
      <c r="J315" s="91"/>
      <c r="K315" s="92" t="s">
        <v>133</v>
      </c>
      <c r="L315" s="92"/>
      <c r="M315" s="91"/>
      <c r="N315" s="92" t="s">
        <v>136</v>
      </c>
      <c r="O315" s="99"/>
      <c r="P315" s="93"/>
    </row>
    <row r="316" spans="5:22" ht="36" customHeight="1" thickBot="1" x14ac:dyDescent="0.3">
      <c r="G316" s="85">
        <f t="shared" si="16"/>
        <v>1</v>
      </c>
      <c r="H316" s="85" t="str">
        <f t="shared" si="15"/>
        <v>20.24</v>
      </c>
      <c r="I316" s="100"/>
      <c r="J316" s="91"/>
      <c r="K316" s="92" t="s">
        <v>133</v>
      </c>
      <c r="L316" s="92"/>
      <c r="M316" s="91"/>
      <c r="N316" s="92" t="s">
        <v>137</v>
      </c>
      <c r="O316" s="99"/>
      <c r="P316" s="93"/>
    </row>
    <row r="317" spans="5:22" ht="36" customHeight="1" thickBot="1" x14ac:dyDescent="0.3">
      <c r="G317" s="85">
        <f t="shared" si="16"/>
        <v>1</v>
      </c>
      <c r="H317" s="85" t="str">
        <f t="shared" si="15"/>
        <v>20.25</v>
      </c>
      <c r="I317" s="100"/>
      <c r="J317" s="91"/>
      <c r="K317" s="92" t="s">
        <v>133</v>
      </c>
      <c r="L317" s="92"/>
      <c r="M317" s="91"/>
      <c r="N317" s="92" t="s">
        <v>138</v>
      </c>
      <c r="O317" s="99"/>
      <c r="P317" s="93"/>
    </row>
    <row r="318" spans="5:22" ht="36" customHeight="1" thickBot="1" x14ac:dyDescent="0.3">
      <c r="G318" s="85">
        <f t="shared" si="16"/>
        <v>1</v>
      </c>
      <c r="H318" s="85" t="str">
        <f t="shared" si="15"/>
        <v>20.26</v>
      </c>
      <c r="I318" s="100"/>
      <c r="J318" s="91"/>
      <c r="K318" s="92" t="s">
        <v>133</v>
      </c>
      <c r="L318" s="92"/>
      <c r="M318" s="91"/>
      <c r="N318" s="92" t="s">
        <v>139</v>
      </c>
      <c r="O318" s="99"/>
      <c r="P318" s="93"/>
    </row>
    <row r="319" spans="5:22" ht="36" customHeight="1" thickBot="1" x14ac:dyDescent="0.3">
      <c r="G319" s="85">
        <f t="shared" si="16"/>
        <v>1</v>
      </c>
      <c r="H319" s="85" t="str">
        <f t="shared" si="15"/>
        <v>21.22</v>
      </c>
      <c r="I319" s="100"/>
      <c r="J319" s="91"/>
      <c r="K319" s="92" t="s">
        <v>134</v>
      </c>
      <c r="L319" s="92"/>
      <c r="M319" s="91"/>
      <c r="N319" s="92" t="s">
        <v>286</v>
      </c>
      <c r="O319" s="99"/>
      <c r="P319" s="93"/>
    </row>
    <row r="320" spans="5:22" ht="36" customHeight="1" thickBot="1" x14ac:dyDescent="0.3">
      <c r="G320" s="85">
        <f t="shared" si="16"/>
        <v>1</v>
      </c>
      <c r="H320" s="85" t="str">
        <f t="shared" si="15"/>
        <v>21.23</v>
      </c>
      <c r="I320" s="100"/>
      <c r="J320" s="91"/>
      <c r="K320" s="92" t="s">
        <v>134</v>
      </c>
      <c r="L320" s="92"/>
      <c r="M320" s="91"/>
      <c r="N320" s="92" t="s">
        <v>136</v>
      </c>
      <c r="O320" s="99"/>
      <c r="P320" s="93"/>
    </row>
    <row r="321" spans="7:16" ht="36" customHeight="1" thickBot="1" x14ac:dyDescent="0.3">
      <c r="G321" s="85">
        <f t="shared" si="16"/>
        <v>1</v>
      </c>
      <c r="H321" s="85" t="str">
        <f t="shared" si="15"/>
        <v>21.24</v>
      </c>
      <c r="I321" s="100"/>
      <c r="J321" s="91"/>
      <c r="K321" s="92" t="s">
        <v>134</v>
      </c>
      <c r="L321" s="92"/>
      <c r="M321" s="91"/>
      <c r="N321" s="92" t="s">
        <v>137</v>
      </c>
      <c r="O321" s="99"/>
      <c r="P321" s="93"/>
    </row>
    <row r="322" spans="7:16" ht="36" customHeight="1" thickBot="1" x14ac:dyDescent="0.3">
      <c r="G322" s="85">
        <f t="shared" si="16"/>
        <v>1</v>
      </c>
      <c r="H322" s="85" t="str">
        <f t="shared" si="15"/>
        <v>21.25</v>
      </c>
      <c r="I322" s="100"/>
      <c r="J322" s="91"/>
      <c r="K322" s="92" t="s">
        <v>134</v>
      </c>
      <c r="L322" s="92"/>
      <c r="M322" s="91"/>
      <c r="N322" s="92" t="s">
        <v>138</v>
      </c>
      <c r="O322" s="99"/>
      <c r="P322" s="93"/>
    </row>
    <row r="323" spans="7:16" ht="36" customHeight="1" thickBot="1" x14ac:dyDescent="0.3">
      <c r="G323" s="85">
        <f t="shared" si="16"/>
        <v>1</v>
      </c>
      <c r="H323" s="85" t="str">
        <f t="shared" si="15"/>
        <v>21.26</v>
      </c>
      <c r="I323" s="100"/>
      <c r="J323" s="91"/>
      <c r="K323" s="92" t="s">
        <v>134</v>
      </c>
      <c r="L323" s="92"/>
      <c r="M323" s="91"/>
      <c r="N323" s="92" t="s">
        <v>139</v>
      </c>
      <c r="O323" s="99"/>
      <c r="P323" s="93"/>
    </row>
    <row r="324" spans="7:16" ht="36" customHeight="1" thickBot="1" x14ac:dyDescent="0.3">
      <c r="G324" s="85">
        <f t="shared" si="16"/>
        <v>1</v>
      </c>
      <c r="H324" s="85" t="str">
        <f t="shared" si="15"/>
        <v>22.23</v>
      </c>
      <c r="I324" s="100"/>
      <c r="J324" s="91"/>
      <c r="K324" s="92" t="s">
        <v>286</v>
      </c>
      <c r="L324" s="92"/>
      <c r="M324" s="91"/>
      <c r="N324" s="92" t="s">
        <v>136</v>
      </c>
      <c r="O324" s="99"/>
      <c r="P324" s="93"/>
    </row>
    <row r="325" spans="7:16" ht="36" customHeight="1" thickBot="1" x14ac:dyDescent="0.3">
      <c r="G325" s="85">
        <f t="shared" si="16"/>
        <v>1</v>
      </c>
      <c r="H325" s="85" t="str">
        <f t="shared" si="15"/>
        <v>22.24</v>
      </c>
      <c r="I325" s="100"/>
      <c r="J325" s="91"/>
      <c r="K325" s="92" t="s">
        <v>286</v>
      </c>
      <c r="L325" s="92"/>
      <c r="M325" s="91"/>
      <c r="N325" s="92" t="s">
        <v>137</v>
      </c>
      <c r="O325" s="99"/>
      <c r="P325" s="93"/>
    </row>
    <row r="326" spans="7:16" ht="36" customHeight="1" thickBot="1" x14ac:dyDescent="0.3">
      <c r="G326" s="85">
        <f t="shared" si="16"/>
        <v>1</v>
      </c>
      <c r="H326" s="85" t="str">
        <f t="shared" si="15"/>
        <v>22.25</v>
      </c>
      <c r="I326" s="100"/>
      <c r="J326" s="91"/>
      <c r="K326" s="92" t="s">
        <v>286</v>
      </c>
      <c r="L326" s="92"/>
      <c r="M326" s="91"/>
      <c r="N326" s="92" t="s">
        <v>138</v>
      </c>
      <c r="O326" s="99"/>
      <c r="P326" s="93"/>
    </row>
    <row r="327" spans="7:16" ht="36" customHeight="1" thickBot="1" x14ac:dyDescent="0.3">
      <c r="G327" s="85">
        <f t="shared" si="16"/>
        <v>1</v>
      </c>
      <c r="H327" s="85" t="str">
        <f t="shared" si="15"/>
        <v>22.26</v>
      </c>
      <c r="I327" s="100"/>
      <c r="J327" s="91"/>
      <c r="K327" s="92" t="s">
        <v>286</v>
      </c>
      <c r="L327" s="92"/>
      <c r="M327" s="91"/>
      <c r="N327" s="92" t="s">
        <v>139</v>
      </c>
      <c r="O327" s="99"/>
      <c r="P327" s="93"/>
    </row>
    <row r="328" spans="7:16" ht="36" customHeight="1" thickBot="1" x14ac:dyDescent="0.3">
      <c r="G328" s="85">
        <f t="shared" si="16"/>
        <v>1</v>
      </c>
      <c r="H328" s="85" t="str">
        <f t="shared" si="15"/>
        <v>23.24</v>
      </c>
      <c r="I328" s="100"/>
      <c r="J328" s="91"/>
      <c r="K328" s="92" t="s">
        <v>136</v>
      </c>
      <c r="L328" s="92"/>
      <c r="M328" s="91"/>
      <c r="N328" s="92" t="s">
        <v>137</v>
      </c>
      <c r="O328" s="99"/>
      <c r="P328" s="93"/>
    </row>
    <row r="329" spans="7:16" ht="36" customHeight="1" thickBot="1" x14ac:dyDescent="0.3">
      <c r="G329" s="85">
        <f t="shared" si="16"/>
        <v>1</v>
      </c>
      <c r="H329" s="85" t="str">
        <f t="shared" si="15"/>
        <v>23.25</v>
      </c>
      <c r="I329" s="100"/>
      <c r="J329" s="91"/>
      <c r="K329" s="92" t="s">
        <v>136</v>
      </c>
      <c r="L329" s="92"/>
      <c r="M329" s="91"/>
      <c r="N329" s="92" t="s">
        <v>138</v>
      </c>
      <c r="O329" s="99"/>
      <c r="P329" s="93"/>
    </row>
    <row r="330" spans="7:16" ht="36" customHeight="1" thickBot="1" x14ac:dyDescent="0.3">
      <c r="G330" s="85">
        <f t="shared" si="16"/>
        <v>1</v>
      </c>
      <c r="H330" s="85" t="str">
        <f t="shared" si="15"/>
        <v>23.26</v>
      </c>
      <c r="I330" s="100"/>
      <c r="J330" s="91"/>
      <c r="K330" s="92" t="s">
        <v>136</v>
      </c>
      <c r="L330" s="92"/>
      <c r="M330" s="91"/>
      <c r="N330" s="92" t="s">
        <v>139</v>
      </c>
      <c r="O330" s="99"/>
      <c r="P330" s="93"/>
    </row>
    <row r="331" spans="7:16" ht="36" customHeight="1" thickBot="1" x14ac:dyDescent="0.3">
      <c r="G331" s="85">
        <f t="shared" si="16"/>
        <v>1</v>
      </c>
      <c r="H331" s="85" t="str">
        <f t="shared" si="15"/>
        <v>24.25</v>
      </c>
      <c r="I331" s="100"/>
      <c r="J331" s="91"/>
      <c r="K331" s="92" t="s">
        <v>137</v>
      </c>
      <c r="L331" s="92"/>
      <c r="M331" s="91"/>
      <c r="N331" s="92" t="s">
        <v>138</v>
      </c>
      <c r="O331" s="99"/>
      <c r="P331" s="93"/>
    </row>
    <row r="332" spans="7:16" ht="36" customHeight="1" thickBot="1" x14ac:dyDescent="0.3">
      <c r="G332" s="85">
        <f t="shared" si="16"/>
        <v>1</v>
      </c>
      <c r="H332" s="85" t="str">
        <f t="shared" si="15"/>
        <v>24.26</v>
      </c>
      <c r="I332" s="100"/>
      <c r="J332" s="91"/>
      <c r="K332" s="92" t="s">
        <v>137</v>
      </c>
      <c r="L332" s="92"/>
      <c r="M332" s="91"/>
      <c r="N332" s="92" t="s">
        <v>139</v>
      </c>
      <c r="O332" s="99"/>
      <c r="P332" s="93"/>
    </row>
    <row r="333" spans="7:16" ht="36" customHeight="1" x14ac:dyDescent="0.25">
      <c r="G333" s="85">
        <f t="shared" si="16"/>
        <v>1</v>
      </c>
      <c r="H333" s="85" t="str">
        <f t="shared" si="15"/>
        <v>25.26</v>
      </c>
      <c r="I333" s="110"/>
      <c r="J333" s="103"/>
      <c r="K333" s="104" t="s">
        <v>138</v>
      </c>
      <c r="L333" s="104"/>
      <c r="M333" s="103"/>
      <c r="N333" s="104" t="s">
        <v>139</v>
      </c>
      <c r="O333" s="113"/>
      <c r="P333" s="105"/>
    </row>
    <row r="334" spans="7:16" ht="15.75" thickBot="1" x14ac:dyDescent="0.3">
      <c r="I334" s="106"/>
      <c r="J334" s="107"/>
      <c r="K334" s="107"/>
      <c r="L334" s="107"/>
      <c r="M334" s="107"/>
      <c r="N334" s="107"/>
      <c r="O334" s="114"/>
      <c r="P334" s="108"/>
    </row>
  </sheetData>
  <sheetProtection formatCells="0"/>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EEF99-C0D8-4595-81D8-00F4CF239701}">
  <dimension ref="B1:M71"/>
  <sheetViews>
    <sheetView zoomScaleNormal="100" workbookViewId="0">
      <selection activeCell="E20" sqref="E20"/>
    </sheetView>
  </sheetViews>
  <sheetFormatPr defaultRowHeight="15" x14ac:dyDescent="0.25"/>
  <cols>
    <col min="1" max="1" width="5.28515625" customWidth="1"/>
    <col min="2" max="2" width="4.7109375" customWidth="1"/>
    <col min="3" max="3" width="12.7109375" customWidth="1"/>
    <col min="4" max="4" width="38.42578125" customWidth="1"/>
    <col min="5" max="6" width="23.42578125" customWidth="1"/>
    <col min="7" max="7" width="32" customWidth="1"/>
    <col min="8" max="11" width="18.7109375" customWidth="1"/>
  </cols>
  <sheetData>
    <row r="1" spans="2:13" x14ac:dyDescent="0.25">
      <c r="B1" s="27"/>
      <c r="C1" t="s">
        <v>312</v>
      </c>
    </row>
    <row r="2" spans="2:13" x14ac:dyDescent="0.25">
      <c r="B2" s="27"/>
    </row>
    <row r="3" spans="2:13" x14ac:dyDescent="0.25">
      <c r="B3" s="7"/>
      <c r="C3" s="2" t="s">
        <v>313</v>
      </c>
      <c r="H3" s="2" t="s">
        <v>217</v>
      </c>
      <c r="L3" t="s">
        <v>314</v>
      </c>
      <c r="M3" t="s">
        <v>315</v>
      </c>
    </row>
    <row r="4" spans="2:13" x14ac:dyDescent="0.25">
      <c r="B4" s="230" t="str">
        <f>IF(C4="Yes",MAX($B$3:$B3)+1,"")</f>
        <v/>
      </c>
      <c r="C4" t="str">
        <f>IF('Risk Matrix'!C23="","",'Risk Matrix'!C23)</f>
        <v/>
      </c>
      <c r="D4" t="s">
        <v>218</v>
      </c>
      <c r="E4" s="231"/>
      <c r="G4" t="s">
        <v>218</v>
      </c>
      <c r="H4" t="s">
        <v>316</v>
      </c>
      <c r="J4" t="str">
        <f t="shared" ref="J4:J56" si="0">IFERROR(INDEX($C$4:$C$25,MATCH($G4,$D$4:$D$25,0)),"")</f>
        <v/>
      </c>
      <c r="K4" t="s">
        <v>390</v>
      </c>
      <c r="L4" s="230" t="str">
        <f>IF(J4="Yes",MAX(L$3:L3)+1,"")</f>
        <v/>
      </c>
      <c r="M4" t="str">
        <f>IF(OR(AND(J4="Yes",K4="No")),"",IF(J4="Yes",MAX($M3:$M$4)+1,""))</f>
        <v/>
      </c>
    </row>
    <row r="5" spans="2:13" x14ac:dyDescent="0.25">
      <c r="B5" s="230" t="str">
        <f>IF(C5="Yes",MAX($B$3:$B3)+1,"")</f>
        <v/>
      </c>
      <c r="C5" t="str">
        <f>IF('Risk Matrix'!C24="","",'Risk Matrix'!C24)</f>
        <v/>
      </c>
      <c r="D5" t="s">
        <v>221</v>
      </c>
      <c r="E5" s="231"/>
      <c r="G5" t="s">
        <v>218</v>
      </c>
      <c r="H5" t="s">
        <v>317</v>
      </c>
      <c r="J5" t="str">
        <f t="shared" si="0"/>
        <v/>
      </c>
      <c r="K5" t="s">
        <v>390</v>
      </c>
      <c r="L5" s="230" t="str">
        <f>IF(J5="Yes",MAX(L$3:L4)+1,"")</f>
        <v/>
      </c>
      <c r="M5" t="str">
        <f>IF(OR(AND(J5="Yes",K5="No")),"",IF(J5="Yes",MAX($M4:$M$4)+1,""))</f>
        <v/>
      </c>
    </row>
    <row r="6" spans="2:13" x14ac:dyDescent="0.25">
      <c r="B6" s="230" t="str">
        <f>IF(C6="Yes",MAX($B$3:$B3)+1,"")</f>
        <v/>
      </c>
      <c r="C6" t="str">
        <f>IF('Risk Matrix'!C25="","",'Risk Matrix'!C25)</f>
        <v/>
      </c>
      <c r="D6" t="s">
        <v>223</v>
      </c>
      <c r="E6" s="231"/>
      <c r="G6" t="s">
        <v>221</v>
      </c>
      <c r="H6" t="s">
        <v>318</v>
      </c>
      <c r="J6" t="str">
        <f t="shared" si="0"/>
        <v/>
      </c>
      <c r="K6" t="s">
        <v>390</v>
      </c>
      <c r="L6" s="230" t="str">
        <f>IF(J6="Yes",MAX(L$3:L5)+1,"")</f>
        <v/>
      </c>
      <c r="M6" t="str">
        <f>IF(OR(AND(J6="Yes",K6="No")),"",IF(J6="Yes",MAX($M$4:$M5)+1,""))</f>
        <v/>
      </c>
    </row>
    <row r="7" spans="2:13" x14ac:dyDescent="0.25">
      <c r="B7" s="230" t="str">
        <f>IF(C7="Yes",MAX($B$3:$B3)+1,"")</f>
        <v/>
      </c>
      <c r="C7" t="str">
        <f>IF('Risk Matrix'!C26="","",'Risk Matrix'!C26)</f>
        <v/>
      </c>
      <c r="D7" t="s">
        <v>225</v>
      </c>
      <c r="E7" s="231"/>
      <c r="G7" t="s">
        <v>221</v>
      </c>
      <c r="H7" t="s">
        <v>319</v>
      </c>
      <c r="J7" t="str">
        <f t="shared" si="0"/>
        <v/>
      </c>
      <c r="K7" t="s">
        <v>390</v>
      </c>
      <c r="L7" s="230" t="str">
        <f>IF(J7="Yes",MAX(L$3:L6)+1,"")</f>
        <v/>
      </c>
      <c r="M7" t="str">
        <f>IF(OR(AND(J7="Yes",K7="No")),"",IF(J7="Yes",MAX($M$4:$M6)+1,""))</f>
        <v/>
      </c>
    </row>
    <row r="8" spans="2:13" x14ac:dyDescent="0.25">
      <c r="B8" s="230" t="str">
        <f>IF(C8="Yes",MAX($B$3:$B3)+1,"")</f>
        <v/>
      </c>
      <c r="C8" t="str">
        <f>IF('Risk Matrix'!C27="","",'Risk Matrix'!C27)</f>
        <v/>
      </c>
      <c r="D8" t="s">
        <v>228</v>
      </c>
      <c r="E8" s="231"/>
      <c r="G8" t="s">
        <v>218</v>
      </c>
      <c r="H8" t="s">
        <v>320</v>
      </c>
      <c r="J8" t="str">
        <f t="shared" si="0"/>
        <v/>
      </c>
      <c r="K8" t="s">
        <v>390</v>
      </c>
      <c r="L8" s="230" t="str">
        <f>IF(J8="Yes",MAX(L$3:L7)+1,"")</f>
        <v/>
      </c>
      <c r="M8" t="str">
        <f>IF(OR(AND(J8="Yes",K8="No")),"",IF(J8="Yes",MAX($M$4:$M7)+1,""))</f>
        <v/>
      </c>
    </row>
    <row r="9" spans="2:13" x14ac:dyDescent="0.25">
      <c r="B9" s="230" t="str">
        <f>IF(C9="Yes",MAX($B$3:$B3)+1,"")</f>
        <v/>
      </c>
      <c r="C9" t="str">
        <f>IF('Risk Matrix'!C28="","",'Risk Matrix'!C28)</f>
        <v/>
      </c>
      <c r="D9" t="s">
        <v>230</v>
      </c>
      <c r="E9" s="231"/>
      <c r="G9" t="s">
        <v>218</v>
      </c>
      <c r="H9" t="s">
        <v>321</v>
      </c>
      <c r="J9" t="str">
        <f t="shared" si="0"/>
        <v/>
      </c>
      <c r="K9" t="s">
        <v>390</v>
      </c>
      <c r="L9" s="230" t="str">
        <f>IF(J9="Yes",MAX(L$3:L8)+1,"")</f>
        <v/>
      </c>
      <c r="M9" t="str">
        <f>IF(OR(AND(J9="Yes",K9="No")),"",IF(J9="Yes",MAX($M$4:$M8)+1,""))</f>
        <v/>
      </c>
    </row>
    <row r="10" spans="2:13" x14ac:dyDescent="0.25">
      <c r="B10" s="230" t="str">
        <f>IF(C10="Yes",MAX($B$3:$B3)+1,"")</f>
        <v/>
      </c>
      <c r="C10" t="str">
        <f>IF('Risk Matrix'!C29="","",'Risk Matrix'!C29)</f>
        <v/>
      </c>
      <c r="D10" t="s">
        <v>232</v>
      </c>
      <c r="E10" s="231"/>
      <c r="G10" t="s">
        <v>218</v>
      </c>
      <c r="H10" t="s">
        <v>322</v>
      </c>
      <c r="J10" t="str">
        <f t="shared" si="0"/>
        <v/>
      </c>
      <c r="K10" t="s">
        <v>390</v>
      </c>
      <c r="L10" s="230" t="str">
        <f>IF(J10="Yes",MAX(L$3:L9)+1,"")</f>
        <v/>
      </c>
      <c r="M10" t="str">
        <f>IF(OR(AND(J10="Yes",K10="No")),"",IF(J10="Yes",MAX($M$4:$M9)+1,""))</f>
        <v/>
      </c>
    </row>
    <row r="11" spans="2:13" x14ac:dyDescent="0.25">
      <c r="B11" s="230" t="str">
        <f>IF(C11="Yes",MAX($B$3:$B3)+1,"")</f>
        <v/>
      </c>
      <c r="C11" t="str">
        <f>IF('Risk Matrix'!C30="","",'Risk Matrix'!C30)</f>
        <v/>
      </c>
      <c r="D11" t="s">
        <v>234</v>
      </c>
      <c r="E11" s="231"/>
      <c r="G11" t="s">
        <v>218</v>
      </c>
      <c r="H11" t="s">
        <v>323</v>
      </c>
      <c r="J11" t="str">
        <f t="shared" si="0"/>
        <v/>
      </c>
      <c r="K11" t="s">
        <v>390</v>
      </c>
      <c r="L11" s="230" t="str">
        <f>IF(J11="Yes",MAX(L$3:L10)+1,"")</f>
        <v/>
      </c>
      <c r="M11" t="str">
        <f>IF(OR(AND(J11="Yes",K11="No")),"",IF(J11="Yes",MAX($M$4:$M10)+1,""))</f>
        <v/>
      </c>
    </row>
    <row r="12" spans="2:13" x14ac:dyDescent="0.25">
      <c r="B12" s="230" t="str">
        <f>IF(C12="Yes",MAX($B$3:$B3)+1,"")</f>
        <v/>
      </c>
      <c r="C12" t="str">
        <f>IF('Risk Matrix'!C31="","",'Risk Matrix'!C31)</f>
        <v/>
      </c>
      <c r="D12" t="s">
        <v>236</v>
      </c>
      <c r="E12" s="231"/>
      <c r="G12" t="s">
        <v>223</v>
      </c>
      <c r="H12" t="s">
        <v>324</v>
      </c>
      <c r="J12" t="str">
        <f t="shared" si="0"/>
        <v/>
      </c>
      <c r="K12" t="s">
        <v>390</v>
      </c>
      <c r="L12" s="230" t="str">
        <f>IF(J12="Yes",MAX(L$3:L11)+1,"")</f>
        <v/>
      </c>
      <c r="M12" t="str">
        <f>IF(OR(AND(J12="Yes",K12="No")),"",IF(J12="Yes",MAX($M$4:$M11)+1,""))</f>
        <v/>
      </c>
    </row>
    <row r="13" spans="2:13" x14ac:dyDescent="0.25">
      <c r="B13" s="230" t="str">
        <f>IF(C13="Yes",MAX($B$3:$B3)+1,"")</f>
        <v/>
      </c>
      <c r="C13" t="str">
        <f>IF('Risk Matrix'!C32="","",'Risk Matrix'!C32)</f>
        <v/>
      </c>
      <c r="D13" t="s">
        <v>238</v>
      </c>
      <c r="E13" s="231"/>
      <c r="G13" t="s">
        <v>223</v>
      </c>
      <c r="H13" t="s">
        <v>325</v>
      </c>
      <c r="J13" t="str">
        <f t="shared" si="0"/>
        <v/>
      </c>
      <c r="K13" t="s">
        <v>390</v>
      </c>
      <c r="L13" s="230" t="str">
        <f>IF(J13="Yes",MAX(L$3:L12)+1,"")</f>
        <v/>
      </c>
      <c r="M13" t="str">
        <f>IF(OR(AND(J13="Yes",K13="No")),"",IF(J13="Yes",MAX($M$4:$M12)+1,""))</f>
        <v/>
      </c>
    </row>
    <row r="14" spans="2:13" x14ac:dyDescent="0.25">
      <c r="B14" s="230" t="str">
        <f>IF(C14="Yes",MAX($B$3:$B3)+1,"")</f>
        <v/>
      </c>
      <c r="C14" t="str">
        <f>IF('Risk Matrix'!C33="","",'Risk Matrix'!C33)</f>
        <v/>
      </c>
      <c r="D14" t="s">
        <v>241</v>
      </c>
      <c r="E14" s="231"/>
      <c r="G14" t="s">
        <v>223</v>
      </c>
      <c r="H14" t="s">
        <v>326</v>
      </c>
      <c r="J14" t="str">
        <f t="shared" si="0"/>
        <v/>
      </c>
      <c r="K14" t="s">
        <v>390</v>
      </c>
      <c r="L14" s="230" t="str">
        <f>IF(J14="Yes",MAX(L$3:L13)+1,"")</f>
        <v/>
      </c>
      <c r="M14" t="str">
        <f>IF(OR(AND(J14="Yes",K14="No")),"",IF(J14="Yes",MAX($M$4:$M13)+1,""))</f>
        <v/>
      </c>
    </row>
    <row r="15" spans="2:13" x14ac:dyDescent="0.25">
      <c r="B15" s="230" t="str">
        <f>IF(C15="Yes",MAX($B$3:$B3)+1,"")</f>
        <v/>
      </c>
      <c r="C15" t="str">
        <f>IF('Risk Matrix'!C34="","",'Risk Matrix'!C34)</f>
        <v/>
      </c>
      <c r="D15" t="s">
        <v>243</v>
      </c>
      <c r="E15" s="231"/>
      <c r="G15" t="s">
        <v>225</v>
      </c>
      <c r="H15" t="s">
        <v>327</v>
      </c>
      <c r="J15" t="str">
        <f t="shared" si="0"/>
        <v/>
      </c>
      <c r="K15" t="s">
        <v>390</v>
      </c>
      <c r="L15" s="230" t="str">
        <f>IF(J15="Yes",MAX(L$3:L14)+1,"")</f>
        <v/>
      </c>
      <c r="M15" t="str">
        <f>IF(OR(AND(J15="Yes",K15="No")),"",IF(J15="Yes",MAX($M$4:$M14)+1,""))</f>
        <v/>
      </c>
    </row>
    <row r="16" spans="2:13" x14ac:dyDescent="0.25">
      <c r="B16" s="230" t="str">
        <f>IF(C16="Yes",MAX($B$3:$B3)+1,"")</f>
        <v/>
      </c>
      <c r="C16" t="str">
        <f>IF('Risk Matrix'!C35="","",'Risk Matrix'!C35)</f>
        <v/>
      </c>
      <c r="D16" t="s">
        <v>246</v>
      </c>
      <c r="E16" s="231"/>
      <c r="G16" t="s">
        <v>228</v>
      </c>
      <c r="H16" t="s">
        <v>328</v>
      </c>
      <c r="J16" t="str">
        <f t="shared" si="0"/>
        <v/>
      </c>
      <c r="K16" t="s">
        <v>390</v>
      </c>
      <c r="L16" s="230" t="str">
        <f>IF(J16="Yes",MAX(L$3:L15)+1,"")</f>
        <v/>
      </c>
      <c r="M16" t="str">
        <f>IF(OR(AND(J16="Yes",K16="No")),"",IF(J16="Yes",MAX($M$4:$M15)+1,""))</f>
        <v/>
      </c>
    </row>
    <row r="17" spans="2:13" x14ac:dyDescent="0.25">
      <c r="B17" s="230" t="str">
        <f>IF(C17="Yes",MAX($B$3:$B3)+1,"")</f>
        <v/>
      </c>
      <c r="C17" t="str">
        <f>IF('Risk Matrix'!C36="","",'Risk Matrix'!C36)</f>
        <v/>
      </c>
      <c r="D17" t="s">
        <v>219</v>
      </c>
      <c r="E17" s="231"/>
      <c r="G17" t="s">
        <v>228</v>
      </c>
      <c r="H17" t="s">
        <v>329</v>
      </c>
      <c r="J17" t="str">
        <f t="shared" si="0"/>
        <v/>
      </c>
      <c r="K17" t="s">
        <v>390</v>
      </c>
      <c r="L17" s="230" t="str">
        <f>IF(J17="Yes",MAX(L$3:L16)+1,"")</f>
        <v/>
      </c>
      <c r="M17" t="str">
        <f>IF(OR(AND(J17="Yes",K17="No")),"",IF(J17="Yes",MAX($M$4:$M16)+1,""))</f>
        <v/>
      </c>
    </row>
    <row r="18" spans="2:13" x14ac:dyDescent="0.25">
      <c r="B18" s="230" t="str">
        <f>IF(C18="Yes",MAX($B$3:$B3)+1,"")</f>
        <v/>
      </c>
      <c r="C18" t="str">
        <f>IF('Risk Matrix'!C37="","",'Risk Matrix'!C37)</f>
        <v/>
      </c>
      <c r="D18" t="s">
        <v>226</v>
      </c>
      <c r="E18" s="231"/>
      <c r="G18" t="s">
        <v>230</v>
      </c>
      <c r="H18" t="s">
        <v>330</v>
      </c>
      <c r="J18" t="str">
        <f t="shared" si="0"/>
        <v/>
      </c>
      <c r="K18" t="s">
        <v>390</v>
      </c>
      <c r="L18" s="230" t="str">
        <f>IF(J18="Yes",MAX(L$3:L17)+1,"")</f>
        <v/>
      </c>
      <c r="M18" t="str">
        <f>IF(OR(AND(J18="Yes",K18="No")),"",IF(J18="Yes",MAX($M$4:$M17)+1,""))</f>
        <v/>
      </c>
    </row>
    <row r="19" spans="2:13" x14ac:dyDescent="0.25">
      <c r="B19" s="230" t="str">
        <f>IF(C19="Yes",MAX($B$3:$B3)+1,"")</f>
        <v/>
      </c>
      <c r="C19" t="str">
        <f>IF('Risk Matrix'!C38="","",'Risk Matrix'!C38)</f>
        <v/>
      </c>
      <c r="D19" t="s">
        <v>239</v>
      </c>
      <c r="E19" s="231"/>
      <c r="G19" t="s">
        <v>232</v>
      </c>
      <c r="H19" t="s">
        <v>331</v>
      </c>
      <c r="J19" t="str">
        <f t="shared" si="0"/>
        <v/>
      </c>
      <c r="K19" t="s">
        <v>390</v>
      </c>
      <c r="L19" s="230" t="str">
        <f>IF(J19="Yes",MAX(L$3:L18)+1,"")</f>
        <v/>
      </c>
      <c r="M19" t="str">
        <f>IF(OR(AND(J19="Yes",K19="No")),"",IF(J19="Yes",MAX($M$4:$M18)+1,""))</f>
        <v/>
      </c>
    </row>
    <row r="20" spans="2:13" x14ac:dyDescent="0.25">
      <c r="B20" s="230">
        <f>IF(C20="Yes",MAX($B$3:$B3)+1,"")</f>
        <v>1</v>
      </c>
      <c r="C20" t="str">
        <f>IF('Risk Matrix'!C39="","",'Risk Matrix'!C39)</f>
        <v>Yes</v>
      </c>
      <c r="D20" t="s">
        <v>244</v>
      </c>
      <c r="E20" s="231"/>
      <c r="G20" t="s">
        <v>234</v>
      </c>
      <c r="H20" t="s">
        <v>332</v>
      </c>
      <c r="J20" t="str">
        <f t="shared" si="0"/>
        <v/>
      </c>
      <c r="K20" t="s">
        <v>390</v>
      </c>
      <c r="L20" s="230" t="str">
        <f>IF(J20="Yes",MAX(L$3:L19)+1,"")</f>
        <v/>
      </c>
      <c r="M20" t="str">
        <f>IF(OR(AND(J20="Yes",K20="No")),"",IF(J20="Yes",MAX($M$4:$M19)+1,""))</f>
        <v/>
      </c>
    </row>
    <row r="21" spans="2:13" x14ac:dyDescent="0.25">
      <c r="B21" s="230" t="str">
        <f>IF(C21="Yes",MAX($B$3:$B3)+1,"")</f>
        <v/>
      </c>
      <c r="C21" t="str">
        <f>IF('Risk Matrix'!C40="","",'Risk Matrix'!C40)</f>
        <v/>
      </c>
      <c r="D21" t="s">
        <v>253</v>
      </c>
      <c r="E21" s="231"/>
      <c r="G21" t="s">
        <v>234</v>
      </c>
      <c r="H21" t="s">
        <v>333</v>
      </c>
      <c r="J21" t="str">
        <f t="shared" si="0"/>
        <v/>
      </c>
      <c r="K21" t="s">
        <v>390</v>
      </c>
      <c r="L21" s="230" t="str">
        <f>IF(J21="Yes",MAX(L$3:L20)+1,"")</f>
        <v/>
      </c>
      <c r="M21" t="str">
        <f>IF(OR(AND(J21="Yes",K21="No")),"",IF(J21="Yes",MAX($M$4:$M20)+1,""))</f>
        <v/>
      </c>
    </row>
    <row r="22" spans="2:13" x14ac:dyDescent="0.25">
      <c r="B22" s="230" t="str">
        <f>IF(C22="Yes",MAX($B$3:$B3)+1,"")</f>
        <v/>
      </c>
      <c r="C22" t="str">
        <f>IF('Risk Matrix'!C41="","",'Risk Matrix'!C41)</f>
        <v/>
      </c>
      <c r="D22" t="s">
        <v>255</v>
      </c>
      <c r="E22" s="231"/>
      <c r="G22" t="s">
        <v>234</v>
      </c>
      <c r="H22" t="s">
        <v>334</v>
      </c>
      <c r="J22" t="str">
        <f t="shared" si="0"/>
        <v/>
      </c>
      <c r="K22" t="s">
        <v>390</v>
      </c>
      <c r="L22" s="230" t="str">
        <f>IF(J22="Yes",MAX(L$3:L21)+1,"")</f>
        <v/>
      </c>
      <c r="M22" t="str">
        <f>IF(OR(AND(J22="Yes",K22="No")),"",IF(J22="Yes",MAX($M$4:$M21)+1,""))</f>
        <v/>
      </c>
    </row>
    <row r="23" spans="2:13" x14ac:dyDescent="0.25">
      <c r="B23" s="230" t="str">
        <f>IF(C23="Yes",MAX($B$3:$B3)+1,"")</f>
        <v/>
      </c>
      <c r="C23" t="str">
        <f>IF('Risk Matrix'!C42="","",'Risk Matrix'!C42)</f>
        <v/>
      </c>
      <c r="D23" t="s">
        <v>257</v>
      </c>
      <c r="E23" s="231"/>
      <c r="G23" t="s">
        <v>234</v>
      </c>
      <c r="H23" t="s">
        <v>335</v>
      </c>
      <c r="J23" t="str">
        <f t="shared" si="0"/>
        <v/>
      </c>
      <c r="K23" t="s">
        <v>390</v>
      </c>
      <c r="L23" s="230" t="str">
        <f>IF(J23="Yes",MAX(L$3:L22)+1,"")</f>
        <v/>
      </c>
      <c r="M23" t="str">
        <f>IF(OR(AND(J23="Yes",K23="No")),"",IF(J23="Yes",MAX($M$4:$M22)+1,""))</f>
        <v/>
      </c>
    </row>
    <row r="24" spans="2:13" x14ac:dyDescent="0.25">
      <c r="B24" s="232" t="str">
        <f>IF(C24="Yes",MAX($B$3:$B3)+1,"")</f>
        <v/>
      </c>
      <c r="C24" t="str">
        <f>IF('Risk Matrix'!C43="","",'Risk Matrix'!C43)</f>
        <v/>
      </c>
      <c r="D24" t="s">
        <v>258</v>
      </c>
      <c r="E24" s="231"/>
      <c r="G24" t="s">
        <v>236</v>
      </c>
      <c r="H24" t="s">
        <v>336</v>
      </c>
      <c r="J24" t="str">
        <f t="shared" si="0"/>
        <v/>
      </c>
      <c r="K24" t="s">
        <v>390</v>
      </c>
      <c r="L24" s="230" t="str">
        <f>IF(J24="Yes",MAX(L$3:L23)+1,"")</f>
        <v/>
      </c>
      <c r="M24" t="str">
        <f>IF(OR(AND(J24="Yes",K24="No")),"",IF(J24="Yes",MAX($M$4:$M23)+1,""))</f>
        <v/>
      </c>
    </row>
    <row r="25" spans="2:13" x14ac:dyDescent="0.25">
      <c r="B25" s="232">
        <f>IF(C25="Yes",MAX($B$3:$B4)+1,"")</f>
        <v>1</v>
      </c>
      <c r="C25" t="s">
        <v>166</v>
      </c>
      <c r="D25" t="s">
        <v>337</v>
      </c>
      <c r="E25" s="231"/>
      <c r="G25" t="s">
        <v>236</v>
      </c>
      <c r="H25" t="s">
        <v>338</v>
      </c>
      <c r="J25" t="str">
        <f t="shared" si="0"/>
        <v/>
      </c>
      <c r="K25" t="s">
        <v>390</v>
      </c>
      <c r="L25" s="230" t="str">
        <f>IF(J25="Yes",MAX(L$3:L24)+1,"")</f>
        <v/>
      </c>
      <c r="M25" t="str">
        <f>IF(OR(AND(J25="Yes",K25="No")),"",IF(J25="Yes",MAX($M$4:$M24)+1,""))</f>
        <v/>
      </c>
    </row>
    <row r="26" spans="2:13" x14ac:dyDescent="0.25">
      <c r="E26" s="231"/>
      <c r="G26" t="s">
        <v>238</v>
      </c>
      <c r="H26" t="s">
        <v>339</v>
      </c>
      <c r="J26" t="str">
        <f t="shared" si="0"/>
        <v/>
      </c>
      <c r="K26" t="s">
        <v>390</v>
      </c>
      <c r="L26" s="230" t="str">
        <f>IF(J26="Yes",MAX(L$3:L25)+1,"")</f>
        <v/>
      </c>
      <c r="M26" t="str">
        <f>IF(OR(AND(J26="Yes",K26="No")),"",IF(J26="Yes",MAX($M$4:$M25)+1,""))</f>
        <v/>
      </c>
    </row>
    <row r="27" spans="2:13" x14ac:dyDescent="0.25">
      <c r="E27" s="231"/>
      <c r="G27" t="s">
        <v>238</v>
      </c>
      <c r="H27" t="s">
        <v>340</v>
      </c>
      <c r="J27" t="str">
        <f t="shared" si="0"/>
        <v/>
      </c>
      <c r="K27" t="s">
        <v>390</v>
      </c>
      <c r="L27" s="230" t="str">
        <f>IF(J27="Yes",MAX(L$3:L26)+1,"")</f>
        <v/>
      </c>
      <c r="M27" t="str">
        <f>IF(OR(AND(J27="Yes",K27="No")),"",IF(J27="Yes",MAX($M$4:$M26)+1,""))</f>
        <v/>
      </c>
    </row>
    <row r="28" spans="2:13" x14ac:dyDescent="0.25">
      <c r="D28" t="s">
        <v>341</v>
      </c>
      <c r="E28" s="83" t="s">
        <v>342</v>
      </c>
      <c r="G28" t="s">
        <v>238</v>
      </c>
      <c r="H28" t="s">
        <v>343</v>
      </c>
      <c r="J28" t="str">
        <f t="shared" si="0"/>
        <v/>
      </c>
      <c r="K28" t="s">
        <v>390</v>
      </c>
      <c r="L28" s="230" t="str">
        <f>IF(J28="Yes",MAX(L$3:L27)+1,"")</f>
        <v/>
      </c>
      <c r="M28" t="str">
        <f>IF(OR(AND(J28="Yes",K28="No")),"",IF(J28="Yes",MAX($M$4:$M27)+1,""))</f>
        <v/>
      </c>
    </row>
    <row r="29" spans="2:13" x14ac:dyDescent="0.25">
      <c r="D29" t="s">
        <v>303</v>
      </c>
      <c r="E29" s="83" t="s">
        <v>342</v>
      </c>
      <c r="G29" t="s">
        <v>238</v>
      </c>
      <c r="H29" t="s">
        <v>344</v>
      </c>
      <c r="J29" t="str">
        <f t="shared" si="0"/>
        <v/>
      </c>
      <c r="K29" t="s">
        <v>390</v>
      </c>
      <c r="L29" s="230" t="str">
        <f>IF(J29="Yes",MAX(L$3:L28)+1,"")</f>
        <v/>
      </c>
      <c r="M29" t="str">
        <f>IF(OR(AND(J29="Yes",K29="No")),"",IF(J29="Yes",MAX($M$4:$M28)+1,""))</f>
        <v/>
      </c>
    </row>
    <row r="30" spans="2:13" x14ac:dyDescent="0.25">
      <c r="D30" t="s">
        <v>304</v>
      </c>
      <c r="E30" s="83" t="s">
        <v>345</v>
      </c>
      <c r="G30" t="s">
        <v>241</v>
      </c>
      <c r="H30" t="s">
        <v>346</v>
      </c>
      <c r="J30" t="str">
        <f t="shared" si="0"/>
        <v/>
      </c>
      <c r="K30" t="s">
        <v>390</v>
      </c>
      <c r="L30" s="230" t="str">
        <f>IF(J30="Yes",MAX(L$3:L29)+1,"")</f>
        <v/>
      </c>
      <c r="M30" t="str">
        <f>IF(OR(AND(J30="Yes",K30="No")),"",IF(J30="Yes",MAX($M$4:$M29)+1,""))</f>
        <v/>
      </c>
    </row>
    <row r="31" spans="2:13" x14ac:dyDescent="0.25">
      <c r="D31" t="s">
        <v>305</v>
      </c>
      <c r="E31" s="83" t="s">
        <v>347</v>
      </c>
      <c r="G31" t="s">
        <v>241</v>
      </c>
      <c r="H31" t="s">
        <v>348</v>
      </c>
      <c r="J31" t="str">
        <f t="shared" si="0"/>
        <v/>
      </c>
      <c r="K31" t="s">
        <v>390</v>
      </c>
      <c r="L31" s="230" t="str">
        <f>IF(J31="Yes",MAX(L$3:L30)+1,"")</f>
        <v/>
      </c>
      <c r="M31" t="str">
        <f>IF(OR(AND(J31="Yes",K31="No")),"",IF(J31="Yes",MAX($M$4:$M30)+1,""))</f>
        <v/>
      </c>
    </row>
    <row r="32" spans="2:13" x14ac:dyDescent="0.25">
      <c r="D32" t="s">
        <v>349</v>
      </c>
      <c r="E32" s="83" t="s">
        <v>345</v>
      </c>
      <c r="G32" t="s">
        <v>241</v>
      </c>
      <c r="H32" t="s">
        <v>350</v>
      </c>
      <c r="J32" t="str">
        <f t="shared" si="0"/>
        <v/>
      </c>
      <c r="K32" t="s">
        <v>390</v>
      </c>
      <c r="L32" s="230" t="str">
        <f>IF(J32="Yes",MAX(L$3:L31)+1,"")</f>
        <v/>
      </c>
      <c r="M32" t="str">
        <f>IF(OR(AND(J32="Yes",K32="No")),"",IF(J32="Yes",MAX($M$4:$M31)+1,""))</f>
        <v/>
      </c>
    </row>
    <row r="33" spans="3:13" x14ac:dyDescent="0.25">
      <c r="D33" t="s">
        <v>307</v>
      </c>
      <c r="E33" s="83" t="s">
        <v>351</v>
      </c>
      <c r="G33" t="s">
        <v>241</v>
      </c>
      <c r="H33" t="s">
        <v>352</v>
      </c>
      <c r="J33" t="str">
        <f t="shared" si="0"/>
        <v/>
      </c>
      <c r="K33" t="s">
        <v>390</v>
      </c>
      <c r="L33" s="230" t="str">
        <f>IF(J33="Yes",MAX(L$3:L32)+1,"")</f>
        <v/>
      </c>
      <c r="M33" t="str">
        <f>IF(OR(AND(J33="Yes",K33="No")),"",IF(J33="Yes",MAX($M$4:$M32)+1,""))</f>
        <v/>
      </c>
    </row>
    <row r="34" spans="3:13" x14ac:dyDescent="0.25">
      <c r="D34" t="s">
        <v>308</v>
      </c>
      <c r="E34" s="83" t="s">
        <v>351</v>
      </c>
      <c r="G34" t="s">
        <v>243</v>
      </c>
      <c r="H34" t="s">
        <v>353</v>
      </c>
      <c r="J34" t="str">
        <f t="shared" si="0"/>
        <v/>
      </c>
      <c r="K34" t="s">
        <v>390</v>
      </c>
      <c r="L34" s="230" t="str">
        <f>IF(J34="Yes",MAX(L$3:L33)+1,"")</f>
        <v/>
      </c>
      <c r="M34" t="str">
        <f>IF(OR(AND(J34="Yes",K34="No")),"",IF(J34="Yes",MAX($M$4:$M33)+1,""))</f>
        <v/>
      </c>
    </row>
    <row r="35" spans="3:13" x14ac:dyDescent="0.25">
      <c r="D35" t="s">
        <v>309</v>
      </c>
      <c r="E35" s="83" t="s">
        <v>351</v>
      </c>
      <c r="G35" t="s">
        <v>243</v>
      </c>
      <c r="H35" t="s">
        <v>354</v>
      </c>
      <c r="J35" t="str">
        <f t="shared" si="0"/>
        <v/>
      </c>
      <c r="K35" t="s">
        <v>390</v>
      </c>
      <c r="L35" s="230" t="str">
        <f>IF(J35="Yes",MAX(L$3:L34)+1,"")</f>
        <v/>
      </c>
      <c r="M35" t="str">
        <f>IF(OR(AND(J35="Yes",K35="No")),"",IF(J35="Yes",MAX($M$4:$M34)+1,""))</f>
        <v/>
      </c>
    </row>
    <row r="36" spans="3:13" x14ac:dyDescent="0.25">
      <c r="D36" t="s">
        <v>310</v>
      </c>
      <c r="E36" s="83" t="s">
        <v>351</v>
      </c>
      <c r="G36" t="s">
        <v>246</v>
      </c>
      <c r="H36" t="s">
        <v>355</v>
      </c>
      <c r="J36" t="str">
        <f t="shared" si="0"/>
        <v/>
      </c>
      <c r="K36" t="s">
        <v>390</v>
      </c>
      <c r="L36" s="230" t="str">
        <f>IF(J36="Yes",MAX(L$3:L35)+1,"")</f>
        <v/>
      </c>
      <c r="M36" t="str">
        <f>IF(OR(AND(J36="Yes",K36="No")),"",IF(J36="Yes",MAX($M$4:$M35)+1,""))</f>
        <v/>
      </c>
    </row>
    <row r="37" spans="3:13" x14ac:dyDescent="0.25">
      <c r="D37" t="s">
        <v>311</v>
      </c>
      <c r="E37" s="83" t="s">
        <v>342</v>
      </c>
      <c r="G37" t="s">
        <v>246</v>
      </c>
      <c r="H37" t="s">
        <v>356</v>
      </c>
      <c r="J37" t="str">
        <f t="shared" si="0"/>
        <v/>
      </c>
      <c r="K37" t="s">
        <v>390</v>
      </c>
      <c r="L37" s="230" t="str">
        <f>IF(J37="Yes",MAX(L$3:L36)+1,"")</f>
        <v/>
      </c>
      <c r="M37" t="str">
        <f>IF(OR(AND(J37="Yes",K37="No")),"",IF(J37="Yes",MAX($M$4:$M36)+1,""))</f>
        <v/>
      </c>
    </row>
    <row r="38" spans="3:13" x14ac:dyDescent="0.25">
      <c r="E38" s="83"/>
      <c r="G38" t="s">
        <v>246</v>
      </c>
      <c r="H38" t="s">
        <v>357</v>
      </c>
      <c r="J38" t="str">
        <f t="shared" si="0"/>
        <v/>
      </c>
      <c r="K38" t="s">
        <v>390</v>
      </c>
      <c r="L38" s="230" t="str">
        <f>IF(J38="Yes",MAX(L$3:L37)+1,"")</f>
        <v/>
      </c>
      <c r="M38" t="str">
        <f>IF(OR(AND(J38="Yes",K38="No")),"",IF(J38="Yes",MAX($M$4:$M37)+1,""))</f>
        <v/>
      </c>
    </row>
    <row r="39" spans="3:13" x14ac:dyDescent="0.25">
      <c r="G39" t="s">
        <v>246</v>
      </c>
      <c r="H39" t="s">
        <v>358</v>
      </c>
      <c r="J39" t="str">
        <f t="shared" si="0"/>
        <v/>
      </c>
      <c r="K39" t="s">
        <v>390</v>
      </c>
      <c r="L39" s="230" t="str">
        <f>IF(J39="Yes",MAX(L$3:L38)+1,"")</f>
        <v/>
      </c>
      <c r="M39" t="str">
        <f>IF(OR(AND(J39="Yes",K39="No")),"",IF(J39="Yes",MAX($M$4:$M38)+1,""))</f>
        <v/>
      </c>
    </row>
    <row r="40" spans="3:13" x14ac:dyDescent="0.25">
      <c r="C40" t="s">
        <v>359</v>
      </c>
      <c r="D40" t="s">
        <v>360</v>
      </c>
      <c r="E40" t="s">
        <v>361</v>
      </c>
      <c r="G40" t="s">
        <v>246</v>
      </c>
      <c r="H40" t="s">
        <v>362</v>
      </c>
      <c r="J40" t="str">
        <f t="shared" si="0"/>
        <v/>
      </c>
      <c r="K40" t="s">
        <v>390</v>
      </c>
      <c r="L40" s="230" t="str">
        <f>IF(J40="Yes",MAX(L$3:L39)+1,"")</f>
        <v/>
      </c>
      <c r="M40" t="str">
        <f>IF(OR(AND(J40="Yes",K40="No")),"",IF(J40="Yes",MAX($M$4:$M39)+1,""))</f>
        <v/>
      </c>
    </row>
    <row r="41" spans="3:13" x14ac:dyDescent="0.25">
      <c r="C41" t="s">
        <v>363</v>
      </c>
      <c r="D41" t="s">
        <v>364</v>
      </c>
      <c r="E41" t="s">
        <v>365</v>
      </c>
      <c r="G41" t="s">
        <v>246</v>
      </c>
      <c r="H41" t="s">
        <v>366</v>
      </c>
      <c r="J41" t="str">
        <f t="shared" si="0"/>
        <v/>
      </c>
      <c r="K41" t="s">
        <v>390</v>
      </c>
      <c r="L41" s="230" t="str">
        <f>IF(J41="Yes",MAX(L$3:L40)+1,"")</f>
        <v/>
      </c>
      <c r="M41" t="str">
        <f>IF(OR(AND(J41="Yes",K41="No")),"",IF(J41="Yes",MAX($M$4:$M40)+1,""))</f>
        <v/>
      </c>
    </row>
    <row r="42" spans="3:13" x14ac:dyDescent="0.25">
      <c r="D42" t="s">
        <v>367</v>
      </c>
      <c r="E42" t="s">
        <v>368</v>
      </c>
      <c r="G42" t="s">
        <v>246</v>
      </c>
      <c r="H42" t="s">
        <v>369</v>
      </c>
      <c r="J42" t="str">
        <f t="shared" si="0"/>
        <v/>
      </c>
      <c r="K42" t="s">
        <v>390</v>
      </c>
      <c r="L42" s="230" t="str">
        <f>IF(J42="Yes",MAX(L$3:L41)+1,"")</f>
        <v/>
      </c>
      <c r="M42" t="str">
        <f>IF(OR(AND(J42="Yes",K42="No")),"",IF(J42="Yes",MAX($M$4:$M41)+1,""))</f>
        <v/>
      </c>
    </row>
    <row r="43" spans="3:13" x14ac:dyDescent="0.25">
      <c r="C43" t="s">
        <v>370</v>
      </c>
      <c r="D43" t="s">
        <v>371</v>
      </c>
      <c r="E43" t="s">
        <v>372</v>
      </c>
      <c r="G43" t="s">
        <v>246</v>
      </c>
      <c r="H43" t="s">
        <v>373</v>
      </c>
      <c r="J43" t="str">
        <f t="shared" si="0"/>
        <v/>
      </c>
      <c r="K43" t="s">
        <v>390</v>
      </c>
      <c r="L43" s="230" t="str">
        <f>IF(J43="Yes",MAX(L$3:L42)+1,"")</f>
        <v/>
      </c>
      <c r="M43" t="str">
        <f>IF(OR(AND(J43="Yes",K43="No")),"",IF(J43="Yes",MAX($M$4:$M42)+1,""))</f>
        <v/>
      </c>
    </row>
    <row r="44" spans="3:13" x14ac:dyDescent="0.25">
      <c r="D44" t="s">
        <v>374</v>
      </c>
      <c r="E44" t="s">
        <v>375</v>
      </c>
      <c r="G44" t="s">
        <v>246</v>
      </c>
      <c r="H44" t="s">
        <v>376</v>
      </c>
      <c r="J44" t="str">
        <f t="shared" si="0"/>
        <v/>
      </c>
      <c r="K44" t="s">
        <v>390</v>
      </c>
      <c r="L44" s="230" t="str">
        <f>IF(J44="Yes",MAX(L$3:L43)+1,"")</f>
        <v/>
      </c>
      <c r="M44" t="str">
        <f>IF(OR(AND(J44="Yes",K44="No")),"",IF(J44="Yes",MAX($M$4:$M43)+1,""))</f>
        <v/>
      </c>
    </row>
    <row r="45" spans="3:13" x14ac:dyDescent="0.25">
      <c r="G45" t="s">
        <v>246</v>
      </c>
      <c r="H45" t="s">
        <v>377</v>
      </c>
      <c r="J45" t="str">
        <f t="shared" si="0"/>
        <v/>
      </c>
      <c r="K45" t="s">
        <v>390</v>
      </c>
      <c r="L45" s="230" t="str">
        <f>IF(J45="Yes",MAX(L$3:L44)+1,"")</f>
        <v/>
      </c>
      <c r="M45" t="str">
        <f>IF(OR(AND(J45="Yes",K45="No")),"",IF(J45="Yes",MAX($M$4:$M44)+1,""))</f>
        <v/>
      </c>
    </row>
    <row r="46" spans="3:13" x14ac:dyDescent="0.25">
      <c r="D46" t="s">
        <v>378</v>
      </c>
      <c r="E46" t="s">
        <v>379</v>
      </c>
      <c r="G46" t="s">
        <v>246</v>
      </c>
      <c r="H46" t="s">
        <v>380</v>
      </c>
      <c r="J46" t="str">
        <f t="shared" si="0"/>
        <v/>
      </c>
      <c r="K46" t="s">
        <v>390</v>
      </c>
      <c r="L46" s="230" t="str">
        <f>IF(J46="Yes",MAX(L$3:L45)+1,"")</f>
        <v/>
      </c>
      <c r="M46" t="str">
        <f>IF(OR(AND(J46="Yes",K46="No")),"",IF(J46="Yes",MAX($M$4:$M45)+1,""))</f>
        <v/>
      </c>
    </row>
    <row r="47" spans="3:13" x14ac:dyDescent="0.25">
      <c r="D47" t="s">
        <v>381</v>
      </c>
      <c r="E47" t="s">
        <v>382</v>
      </c>
      <c r="G47" t="s">
        <v>219</v>
      </c>
      <c r="H47" t="s">
        <v>220</v>
      </c>
      <c r="J47" t="str">
        <f t="shared" si="0"/>
        <v/>
      </c>
      <c r="K47" t="s">
        <v>166</v>
      </c>
      <c r="L47" s="230" t="str">
        <f>IF(J47="Yes",MAX(L$3:L46)+1,"")</f>
        <v/>
      </c>
      <c r="M47" t="str">
        <f>IF(OR(AND(J47="Yes",K47="No")),"",IF(J47="Yes",MAX($M$4:$M46)+1,""))</f>
        <v/>
      </c>
    </row>
    <row r="48" spans="3:13" x14ac:dyDescent="0.25">
      <c r="G48" t="s">
        <v>219</v>
      </c>
      <c r="H48" t="s">
        <v>222</v>
      </c>
      <c r="J48" t="str">
        <f t="shared" si="0"/>
        <v/>
      </c>
      <c r="K48" t="s">
        <v>166</v>
      </c>
      <c r="L48" s="230" t="str">
        <f>IF(J48="Yes",MAX(L$3:L47)+1,"")</f>
        <v/>
      </c>
      <c r="M48" t="str">
        <f>IF(OR(AND(J48="Yes",K48="No")),"",IF(J48="Yes",MAX($M$4:$M47)+1,""))</f>
        <v/>
      </c>
    </row>
    <row r="49" spans="4:13" x14ac:dyDescent="0.25">
      <c r="D49" t="s">
        <v>236</v>
      </c>
      <c r="E49" t="s">
        <v>383</v>
      </c>
      <c r="G49" t="s">
        <v>219</v>
      </c>
      <c r="H49" t="s">
        <v>224</v>
      </c>
      <c r="J49" t="str">
        <f t="shared" si="0"/>
        <v/>
      </c>
      <c r="K49" t="s">
        <v>173</v>
      </c>
      <c r="L49" s="230" t="str">
        <f>IF(J49="Yes",MAX(L$3:L48)+1,"")</f>
        <v/>
      </c>
      <c r="M49" t="str">
        <f>IF(OR(AND(J49="Yes",K49="No")),"",IF(J49="Yes",MAX($M$4:$M48)+1,""))</f>
        <v/>
      </c>
    </row>
    <row r="50" spans="4:13" x14ac:dyDescent="0.25">
      <c r="G50" t="s">
        <v>226</v>
      </c>
      <c r="H50" t="s">
        <v>227</v>
      </c>
      <c r="J50" t="str">
        <f t="shared" si="0"/>
        <v/>
      </c>
      <c r="K50" t="s">
        <v>390</v>
      </c>
      <c r="L50" s="230" t="str">
        <f>IF(J50="Yes",MAX(L$3:L49)+1,"")</f>
        <v/>
      </c>
      <c r="M50" t="str">
        <f>IF(OR(AND(J50="Yes",K50="No")),"",IF(J50="Yes",MAX($M$4:$M49)+1,""))</f>
        <v/>
      </c>
    </row>
    <row r="51" spans="4:13" x14ac:dyDescent="0.25">
      <c r="G51" t="s">
        <v>226</v>
      </c>
      <c r="H51" t="s">
        <v>229</v>
      </c>
      <c r="J51" t="str">
        <f t="shared" si="0"/>
        <v/>
      </c>
      <c r="K51" t="s">
        <v>390</v>
      </c>
      <c r="L51" s="230" t="str">
        <f>IF(J51="Yes",MAX(L$3:L50)+1,"")</f>
        <v/>
      </c>
      <c r="M51" t="str">
        <f>IF(OR(AND(J51="Yes",K51="No")),"",IF(J51="Yes",MAX($M$4:$M50)+1,""))</f>
        <v/>
      </c>
    </row>
    <row r="52" spans="4:13" x14ac:dyDescent="0.25">
      <c r="G52" t="s">
        <v>226</v>
      </c>
      <c r="H52" t="s">
        <v>231</v>
      </c>
      <c r="J52" t="str">
        <f t="shared" si="0"/>
        <v/>
      </c>
      <c r="K52" t="s">
        <v>166</v>
      </c>
      <c r="L52" s="230" t="str">
        <f>IF(J52="Yes",MAX(L$3:L51)+1,"")</f>
        <v/>
      </c>
      <c r="M52" t="str">
        <f>IF(OR(AND(J52="Yes",K52="No")),"",IF(J52="Yes",MAX($M$4:$M51)+1,""))</f>
        <v/>
      </c>
    </row>
    <row r="53" spans="4:13" x14ac:dyDescent="0.25">
      <c r="G53" t="s">
        <v>226</v>
      </c>
      <c r="H53" t="s">
        <v>233</v>
      </c>
      <c r="J53" t="str">
        <f t="shared" si="0"/>
        <v/>
      </c>
      <c r="K53" t="s">
        <v>390</v>
      </c>
      <c r="L53" s="230" t="str">
        <f>IF(J53="Yes",MAX(L$3:L52)+1,"")</f>
        <v/>
      </c>
      <c r="M53" t="str">
        <f>IF(OR(AND(J53="Yes",K53="No")),"",IF(J53="Yes",MAX($M$4:$M52)+1,""))</f>
        <v/>
      </c>
    </row>
    <row r="54" spans="4:13" x14ac:dyDescent="0.25">
      <c r="G54" t="s">
        <v>226</v>
      </c>
      <c r="H54" t="s">
        <v>235</v>
      </c>
      <c r="J54" t="str">
        <f t="shared" si="0"/>
        <v/>
      </c>
      <c r="K54" t="s">
        <v>390</v>
      </c>
      <c r="L54" s="230" t="str">
        <f>IF(J54="Yes",MAX(L$3:L53)+1,"")</f>
        <v/>
      </c>
      <c r="M54" t="str">
        <f>IF(OR(AND(J54="Yes",K54="No")),"",IF(J54="Yes",MAX($M$4:$M53)+1,""))</f>
        <v/>
      </c>
    </row>
    <row r="55" spans="4:13" x14ac:dyDescent="0.25">
      <c r="G55" t="s">
        <v>226</v>
      </c>
      <c r="H55" t="s">
        <v>237</v>
      </c>
      <c r="J55" t="str">
        <f t="shared" si="0"/>
        <v/>
      </c>
      <c r="K55" t="s">
        <v>390</v>
      </c>
      <c r="L55" s="230" t="str">
        <f>IF(J55="Yes",MAX(L$3:L54)+1,"")</f>
        <v/>
      </c>
      <c r="M55" t="str">
        <f>IF(OR(AND(J55="Yes",K55="No")),"",IF(J55="Yes",MAX($M$4:$M54)+1,""))</f>
        <v/>
      </c>
    </row>
    <row r="56" spans="4:13" x14ac:dyDescent="0.25">
      <c r="G56" t="s">
        <v>239</v>
      </c>
      <c r="H56" t="s">
        <v>240</v>
      </c>
      <c r="J56" t="str">
        <f t="shared" si="0"/>
        <v/>
      </c>
      <c r="K56" t="s">
        <v>166</v>
      </c>
      <c r="L56" s="230" t="str">
        <f>IF(J56="Yes",MAX(L$3:L55)+1,"")</f>
        <v/>
      </c>
      <c r="M56" t="str">
        <f>IF(OR(AND(J56="Yes",K56="No")),"",IF(J56="Yes",MAX($M$4:$M55)+1,""))</f>
        <v/>
      </c>
    </row>
    <row r="57" spans="4:13" x14ac:dyDescent="0.25">
      <c r="G57" t="s">
        <v>239</v>
      </c>
      <c r="H57" t="s">
        <v>242</v>
      </c>
      <c r="J57" t="str">
        <f>IFERROR(INDEX($C$4:$C$25,MATCH($G57,$D$4:$D$25,0)),"")</f>
        <v/>
      </c>
      <c r="K57" t="s">
        <v>390</v>
      </c>
      <c r="L57" s="230" t="str">
        <f>IF(J57="Yes",MAX(L$3:L56)+1,"")</f>
        <v/>
      </c>
      <c r="M57" t="str">
        <f>IF(OR(AND(J57="Yes",K57="No")),"",IF(J57="Yes",MAX($M$4:$M56)+1,""))</f>
        <v/>
      </c>
    </row>
    <row r="58" spans="4:13" x14ac:dyDescent="0.25">
      <c r="G58" t="s">
        <v>244</v>
      </c>
      <c r="H58" t="s">
        <v>245</v>
      </c>
      <c r="J58" t="str">
        <f>IFERROR(INDEX($C$4:$C$25,MATCH($G58,$D$4:$D$25,0)),"")</f>
        <v>Yes</v>
      </c>
      <c r="K58" t="s">
        <v>390</v>
      </c>
      <c r="L58" s="230">
        <f>IF(J58="Yes",MAX(L$3:L57)+1,"")</f>
        <v>1</v>
      </c>
      <c r="M58">
        <f>IF(OR(AND(J58="Yes",K58="No")),"",IF(J58="Yes",MAX($M$4:$M57)+1,""))</f>
        <v>1</v>
      </c>
    </row>
    <row r="59" spans="4:13" x14ac:dyDescent="0.25">
      <c r="E59" s="231"/>
      <c r="G59" t="s">
        <v>244</v>
      </c>
      <c r="H59" t="s">
        <v>247</v>
      </c>
      <c r="J59" t="str">
        <f t="shared" ref="J59:J71" si="1">IFERROR(INDEX($C$4:$C$25,MATCH($G59,$D$4:$D$25,0)),"")</f>
        <v>Yes</v>
      </c>
      <c r="K59" t="s">
        <v>390</v>
      </c>
      <c r="L59" s="230">
        <f>IF(J59="Yes",MAX(L$3:L58)+1,"")</f>
        <v>2</v>
      </c>
      <c r="M59">
        <f>IF(OR(AND(J59="Yes",K59="No")),"",IF(J59="Yes",MAX($M$4:$M58)+1,""))</f>
        <v>2</v>
      </c>
    </row>
    <row r="60" spans="4:13" x14ac:dyDescent="0.25">
      <c r="E60" s="231"/>
      <c r="G60" t="s">
        <v>244</v>
      </c>
      <c r="H60" t="s">
        <v>248</v>
      </c>
      <c r="J60" t="str">
        <f t="shared" si="1"/>
        <v>Yes</v>
      </c>
      <c r="K60" t="s">
        <v>390</v>
      </c>
      <c r="L60" s="230">
        <f>IF(J60="Yes",MAX(L$3:L59)+1,"")</f>
        <v>3</v>
      </c>
      <c r="M60">
        <f>IF(OR(AND(J60="Yes",K60="No")),"",IF(J60="Yes",MAX($M$4:$M59)+1,""))</f>
        <v>3</v>
      </c>
    </row>
    <row r="61" spans="4:13" x14ac:dyDescent="0.25">
      <c r="E61" s="231"/>
      <c r="G61" t="s">
        <v>244</v>
      </c>
      <c r="H61" t="s">
        <v>249</v>
      </c>
      <c r="J61" t="str">
        <f t="shared" si="1"/>
        <v>Yes</v>
      </c>
      <c r="K61" t="s">
        <v>390</v>
      </c>
      <c r="L61" s="230">
        <f>IF(J61="Yes",MAX(L$3:L60)+1,"")</f>
        <v>4</v>
      </c>
      <c r="M61">
        <f>IF(OR(AND(J61="Yes",K61="No")),"",IF(J61="Yes",MAX($M$4:$M60)+1,""))</f>
        <v>4</v>
      </c>
    </row>
    <row r="62" spans="4:13" x14ac:dyDescent="0.25">
      <c r="E62" s="231"/>
      <c r="G62" t="s">
        <v>244</v>
      </c>
      <c r="H62" t="s">
        <v>250</v>
      </c>
      <c r="J62" t="str">
        <f t="shared" si="1"/>
        <v>Yes</v>
      </c>
      <c r="K62" t="s">
        <v>390</v>
      </c>
      <c r="L62" s="230">
        <f>IF(J62="Yes",MAX(L$3:L61)+1,"")</f>
        <v>5</v>
      </c>
      <c r="M62">
        <f>IF(OR(AND(J62="Yes",K62="No")),"",IF(J62="Yes",MAX($M$4:$M61)+1,""))</f>
        <v>5</v>
      </c>
    </row>
    <row r="63" spans="4:13" x14ac:dyDescent="0.25">
      <c r="E63" s="231"/>
      <c r="G63" t="s">
        <v>244</v>
      </c>
      <c r="H63" t="s">
        <v>252</v>
      </c>
      <c r="J63" t="str">
        <f t="shared" si="1"/>
        <v>Yes</v>
      </c>
      <c r="K63" t="s">
        <v>390</v>
      </c>
      <c r="L63" s="230">
        <f>IF(J63="Yes",MAX(L$3:L62)+1,"")</f>
        <v>6</v>
      </c>
      <c r="M63">
        <f>IF(OR(AND(J63="Yes",K63="No")),"",IF(J63="Yes",MAX($M$4:$M62)+1,""))</f>
        <v>6</v>
      </c>
    </row>
    <row r="64" spans="4:13" x14ac:dyDescent="0.25">
      <c r="E64" s="231"/>
      <c r="G64" t="s">
        <v>244</v>
      </c>
      <c r="H64" t="s">
        <v>254</v>
      </c>
      <c r="J64" t="str">
        <f t="shared" si="1"/>
        <v>Yes</v>
      </c>
      <c r="K64" t="s">
        <v>390</v>
      </c>
      <c r="L64" s="230">
        <f>IF(J64="Yes",MAX(L$3:L63)+1,"")</f>
        <v>7</v>
      </c>
      <c r="M64">
        <f>IF(OR(AND(J64="Yes",K64="No")),"",IF(J64="Yes",MAX($M$4:$M63)+1,""))</f>
        <v>7</v>
      </c>
    </row>
    <row r="65" spans="5:13" x14ac:dyDescent="0.25">
      <c r="E65" s="231"/>
      <c r="G65" t="s">
        <v>244</v>
      </c>
      <c r="H65" t="s">
        <v>256</v>
      </c>
      <c r="J65" t="str">
        <f t="shared" si="1"/>
        <v>Yes</v>
      </c>
      <c r="K65" t="s">
        <v>390</v>
      </c>
      <c r="L65" s="230">
        <f>IF(J65="Yes",MAX(L$3:L64)+1,"")</f>
        <v>8</v>
      </c>
      <c r="M65">
        <f>IF(OR(AND(J65="Yes",K65="No")),"",IF(J65="Yes",MAX($M$4:$M64)+1,""))</f>
        <v>8</v>
      </c>
    </row>
    <row r="66" spans="5:13" x14ac:dyDescent="0.25">
      <c r="E66" s="231"/>
      <c r="G66" t="s">
        <v>253</v>
      </c>
      <c r="H66" t="s">
        <v>384</v>
      </c>
      <c r="J66" t="str">
        <f t="shared" si="1"/>
        <v/>
      </c>
      <c r="K66" t="s">
        <v>390</v>
      </c>
      <c r="L66" s="230" t="str">
        <f>IF(J66="Yes",MAX(L$3:L65)+1,"")</f>
        <v/>
      </c>
      <c r="M66" t="str">
        <f>IF(OR(AND(J66="Yes",K66="No")),"",IF(J66="Yes",MAX($M$4:$M65)+1,""))</f>
        <v/>
      </c>
    </row>
    <row r="67" spans="5:13" x14ac:dyDescent="0.25">
      <c r="E67" s="231"/>
      <c r="G67" t="s">
        <v>255</v>
      </c>
      <c r="H67" t="s">
        <v>385</v>
      </c>
      <c r="J67" t="str">
        <f t="shared" si="1"/>
        <v/>
      </c>
      <c r="K67" t="s">
        <v>390</v>
      </c>
      <c r="L67" s="230" t="str">
        <f>IF(J67="Yes",MAX(L$3:L66)+1,"")</f>
        <v/>
      </c>
      <c r="M67" t="str">
        <f>IF(OR(AND(J67="Yes",K67="No")),"",IF(J67="Yes",MAX($M$4:$M66)+1,""))</f>
        <v/>
      </c>
    </row>
    <row r="68" spans="5:13" x14ac:dyDescent="0.25">
      <c r="E68" s="231"/>
      <c r="G68" t="s">
        <v>257</v>
      </c>
      <c r="H68" t="s">
        <v>386</v>
      </c>
      <c r="J68" t="str">
        <f t="shared" si="1"/>
        <v/>
      </c>
      <c r="K68" t="s">
        <v>390</v>
      </c>
      <c r="L68" s="230" t="str">
        <f>IF(J68="Yes",MAX(L$3:L67)+1,"")</f>
        <v/>
      </c>
      <c r="M68" t="str">
        <f>IF(OR(AND(J68="Yes",K68="No")),"",IF(J68="Yes",MAX($M$4:$M67)+1,""))</f>
        <v/>
      </c>
    </row>
    <row r="69" spans="5:13" x14ac:dyDescent="0.25">
      <c r="E69" s="231"/>
      <c r="G69" t="s">
        <v>258</v>
      </c>
      <c r="H69" t="s">
        <v>387</v>
      </c>
      <c r="J69" t="str">
        <f t="shared" si="1"/>
        <v/>
      </c>
      <c r="K69" t="s">
        <v>390</v>
      </c>
      <c r="L69" s="230" t="str">
        <f>IF(J69="Yes",MAX(L$3:L68)+1,"")</f>
        <v/>
      </c>
      <c r="M69" t="str">
        <f>IF(OR(AND(J69="Yes",K69="No")),"",IF(J69="Yes",MAX($M$4:$M68)+1,""))</f>
        <v/>
      </c>
    </row>
    <row r="70" spans="5:13" x14ac:dyDescent="0.25">
      <c r="E70" s="231"/>
      <c r="G70" t="s">
        <v>258</v>
      </c>
      <c r="H70" t="s">
        <v>388</v>
      </c>
      <c r="J70" t="str">
        <f t="shared" si="1"/>
        <v/>
      </c>
      <c r="K70" t="s">
        <v>390</v>
      </c>
      <c r="L70" s="230" t="str">
        <f>IF(J70="Yes",MAX(L$3:L69)+1,"")</f>
        <v/>
      </c>
      <c r="M70" t="str">
        <f>IF(OR(AND(J70="Yes",K70="No")),"",IF(J70="Yes",MAX($M$4:$M69)+1,""))</f>
        <v/>
      </c>
    </row>
    <row r="71" spans="5:13" x14ac:dyDescent="0.25">
      <c r="E71" s="231"/>
      <c r="G71" t="s">
        <v>258</v>
      </c>
      <c r="H71" t="s">
        <v>389</v>
      </c>
      <c r="J71" t="str">
        <f t="shared" si="1"/>
        <v/>
      </c>
      <c r="K71" t="s">
        <v>390</v>
      </c>
      <c r="L71" s="230" t="str">
        <f>IF(J71="Yes",MAX(L$3:L70)+1,"")</f>
        <v/>
      </c>
      <c r="M71" t="str">
        <f>IF(OR(AND(J71="Yes",K71="No")),"",IF(J71="Yes",MAX($M$4:$M70)+1,""))</f>
        <v/>
      </c>
    </row>
  </sheetData>
  <sheetProtection algorithmName="SHA-512" hashValue="q10UvkY8fxtM3TlKw7OQxvugDo7SBmGnB+Tzr/VMAP7Jkzw95t8NItcj73Zogi41379T1r6r61rmTs9fIAOCOg==" saltValue="Nw7oF48oPxuxeYJgkcg+q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22501CF33A464EB398AFA3964F8546" ma:contentTypeVersion="13" ma:contentTypeDescription="Create a new document." ma:contentTypeScope="" ma:versionID="8cc991376d724de6e95b96e116677133">
  <xsd:schema xmlns:xsd="http://www.w3.org/2001/XMLSchema" xmlns:xs="http://www.w3.org/2001/XMLSchema" xmlns:p="http://schemas.microsoft.com/office/2006/metadata/properties" xmlns:ns2="5daa2805-3014-4694-800c-841e7984fce4" xmlns:ns3="56d4b4d3-1899-445c-8189-9af2d23ab474" targetNamespace="http://schemas.microsoft.com/office/2006/metadata/properties" ma:root="true" ma:fieldsID="234e3474f6c9addf3ac4e2be9cee01f9" ns2:_="" ns3:_="">
    <xsd:import namespace="5daa2805-3014-4694-800c-841e7984fce4"/>
    <xsd:import namespace="56d4b4d3-1899-445c-8189-9af2d23ab4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aa2805-3014-4694-800c-841e7984fc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d603967-6ed5-4178-af05-9e9c486824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d4b4d3-1899-445c-8189-9af2d23ab4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943e1-690d-42e4-8427-816f7982e8d6}" ma:internalName="TaxCatchAll" ma:showField="CatchAllData" ma:web="56d4b4d3-1899-445c-8189-9af2d23ab4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6d4b4d3-1899-445c-8189-9af2d23ab474" xsi:nil="true"/>
    <lcf76f155ced4ddcb4097134ff3c332f xmlns="5daa2805-3014-4694-800c-841e7984fc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B4E6C2-19BC-44EA-8E61-E901F02FF7D6}">
  <ds:schemaRefs>
    <ds:schemaRef ds:uri="http://schemas.microsoft.com/sharepoint/v3/contenttype/forms"/>
  </ds:schemaRefs>
</ds:datastoreItem>
</file>

<file path=customXml/itemProps2.xml><?xml version="1.0" encoding="utf-8"?>
<ds:datastoreItem xmlns:ds="http://schemas.openxmlformats.org/officeDocument/2006/customXml" ds:itemID="{B0C3FB52-A885-4F95-8BE1-E95390709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aa2805-3014-4694-800c-841e7984fce4"/>
    <ds:schemaRef ds:uri="56d4b4d3-1899-445c-8189-9af2d23ab4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A5BDFC-A675-4B66-A487-40FC1ECF18B3}">
  <ds:schemaRefs>
    <ds:schemaRef ds:uri="http://purl.org/dc/elements/1.1/"/>
    <ds:schemaRef ds:uri="2aab18dc-f6a8-4db0-a0f5-e94bf6c14bd4"/>
    <ds:schemaRef ds:uri="http://schemas.microsoft.com/office/infopath/2007/PartnerControls"/>
    <ds:schemaRef ds:uri="http://purl.org/dc/terms/"/>
    <ds:schemaRef ds:uri="http://schemas.microsoft.com/office/2006/metadata/properties"/>
    <ds:schemaRef ds:uri="http://schemas.microsoft.com/office/2006/documentManagement/types"/>
    <ds:schemaRef ds:uri="f6cf86e3-967c-4266-9f53-ca6efa957a18"/>
    <ds:schemaRef ds:uri="http://schemas.openxmlformats.org/package/2006/metadata/core-properties"/>
    <ds:schemaRef ds:uri="http://www.w3.org/XML/1998/namespace"/>
    <ds:schemaRef ds:uri="http://purl.org/dc/dcmitype/"/>
    <ds:schemaRef ds:uri="56d4b4d3-1899-445c-8189-9af2d23ab474"/>
    <ds:schemaRef ds:uri="5daa2805-3014-4694-800c-841e7984fc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 for use</vt:lpstr>
      <vt:lpstr>SOP register</vt:lpstr>
      <vt:lpstr>SOP template</vt:lpstr>
      <vt:lpstr>Training Matrix</vt:lpstr>
      <vt:lpstr>Risk Matrix</vt:lpstr>
      <vt:lpstr>Ref</vt:lpstr>
      <vt:lpstr>Standard Controls</vt:lpstr>
      <vt:lpstr>'Risk Matrix'!Print_Area</vt:lpstr>
      <vt:lpstr>'SOP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Verity Wroe</dc:creator>
  <cp:keywords/>
  <dc:description/>
  <cp:lastModifiedBy>Verity Wroe</cp:lastModifiedBy>
  <cp:revision/>
  <dcterms:created xsi:type="dcterms:W3CDTF">2023-07-21T03:39:21Z</dcterms:created>
  <dcterms:modified xsi:type="dcterms:W3CDTF">2025-05-15T06:08:42Z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0x010100B722501CF33A464EB398AFA3964F8546</vt:lpwstr>
  </property>
  <property fmtid="{D5CDD505-2E9C-101B-9397-08002B2CF9AE}" pid="3" name="MediaServiceImageTags">
    <vt:lpwstr/>
  </property>
  <property fmtid="{D5CDD505-2E9C-101B-9397-08002B2CF9AE}" pid="4" name="Order">
    <vt:r8>753300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